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45" yWindow="-30" windowWidth="12000" windowHeight="12885" tabRatio="937" activeTab="2"/>
  </bookViews>
  <sheets>
    <sheet name="Хабаровск-1" sheetId="45" r:id="rId1"/>
    <sheet name="Хабаровск-2" sheetId="35" r:id="rId2"/>
    <sheet name="Комсомольск" sheetId="33" r:id="rId3"/>
  </sheets>
  <externalReferences>
    <externalReference r:id="rId4"/>
    <externalReference r:id="rId5"/>
  </externalReferences>
  <definedNames>
    <definedName name="_xlnm._FilterDatabase" localSheetId="2" hidden="1">Комсомольск!$A$7:$BP$831</definedName>
    <definedName name="_xlnm._FilterDatabase" localSheetId="0" hidden="1">'Хабаровск-1'!$C$8:$I$750</definedName>
    <definedName name="_xlnm._FilterDatabase" localSheetId="1" hidden="1">'Хабаровск-2'!$A$8:$J$1473</definedName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блок" localSheetId="2">'[2]1D_Gorin'!#REF!</definedName>
    <definedName name="блок" localSheetId="0">'[2]1D_Gorin'!#REF!</definedName>
    <definedName name="блок" localSheetId="1">'[2]1D_Gorin'!#REF!</definedName>
    <definedName name="блок">'[2]1D_Gorin'!#REF!</definedName>
    <definedName name="_xlnm.Print_Titles" localSheetId="2">Комсомольск!$4:$7</definedName>
    <definedName name="_xlnm.Print_Titles" localSheetId="0">'Хабаровск-1'!$1:$8</definedName>
    <definedName name="_xlnm.Print_Titles" localSheetId="1">'Хабаровск-2'!$3:$8</definedName>
    <definedName name="_xlnm.Print_Area" localSheetId="2">Комсомольск!$D$1:$I$829</definedName>
    <definedName name="_xlnm.Print_Area" localSheetId="0">'Хабаровск-1'!$C$1:$H$750</definedName>
    <definedName name="_xlnm.Print_Area" localSheetId="1">'Хабаровск-2'!$D$1:$I$1472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2" i="33" l="1"/>
  <c r="F21" i="33"/>
  <c r="H484" i="45" l="1"/>
  <c r="H483" i="45"/>
  <c r="F1181" i="35" l="1"/>
  <c r="E133" i="45" l="1"/>
  <c r="F23" i="33" l="1"/>
  <c r="F113" i="35" l="1"/>
  <c r="H133" i="45"/>
  <c r="E155" i="45"/>
  <c r="E153" i="45"/>
  <c r="E152" i="45"/>
  <c r="E149" i="45"/>
  <c r="E147" i="45"/>
  <c r="E142" i="45"/>
  <c r="H164" i="45"/>
  <c r="H163" i="45"/>
  <c r="H162" i="45"/>
  <c r="H165" i="45"/>
  <c r="E165" i="45"/>
  <c r="E436" i="45" l="1"/>
  <c r="E435" i="45"/>
  <c r="E443" i="45"/>
  <c r="E422" i="45"/>
  <c r="F1176" i="35"/>
  <c r="F1184" i="35"/>
  <c r="F1175" i="35"/>
  <c r="F713" i="35" l="1"/>
  <c r="F354" i="35"/>
  <c r="F405" i="33" l="1"/>
  <c r="F418" i="33"/>
  <c r="E500" i="45"/>
  <c r="E503" i="45"/>
  <c r="F32" i="35" l="1"/>
  <c r="F1186" i="35" l="1"/>
  <c r="F1183" i="35"/>
  <c r="F388" i="33"/>
  <c r="E338" i="45" l="1"/>
  <c r="E717" i="45" l="1"/>
  <c r="F22" i="33" l="1"/>
  <c r="F264" i="33" l="1"/>
  <c r="F250" i="33"/>
  <c r="E97" i="45" l="1"/>
  <c r="E94" i="45"/>
  <c r="E106" i="45" l="1"/>
  <c r="E101" i="45"/>
  <c r="E29" i="45"/>
  <c r="E30" i="45"/>
  <c r="F142" i="35" l="1"/>
  <c r="E332" i="45" l="1"/>
  <c r="F12" i="35" l="1"/>
  <c r="F597" i="35" l="1"/>
  <c r="F522" i="33" l="1"/>
  <c r="F179" i="33" l="1"/>
  <c r="F698" i="33"/>
  <c r="F572" i="33"/>
  <c r="F446" i="33"/>
  <c r="F266" i="33"/>
  <c r="F108" i="33"/>
  <c r="F106" i="33"/>
  <c r="F25" i="33"/>
  <c r="F103" i="33" l="1"/>
  <c r="F1188" i="35"/>
  <c r="F1283" i="35"/>
  <c r="F1408" i="35"/>
  <c r="F1351" i="35"/>
  <c r="F1346" i="35" s="1"/>
  <c r="F1349" i="35"/>
  <c r="F43" i="35"/>
  <c r="F1118" i="35"/>
  <c r="F1051" i="35"/>
  <c r="F999" i="35"/>
  <c r="F839" i="35"/>
  <c r="F782" i="35"/>
  <c r="F725" i="35" l="1"/>
  <c r="F720" i="35" s="1"/>
  <c r="F662" i="35"/>
  <c r="F603" i="35"/>
  <c r="F516" i="35"/>
  <c r="F454" i="35"/>
  <c r="F393" i="35"/>
  <c r="F390" i="35" s="1"/>
  <c r="E32" i="45" l="1"/>
  <c r="E37" i="45" s="1"/>
  <c r="I37" i="45" s="1"/>
  <c r="F815" i="33" l="1"/>
  <c r="F163" i="33"/>
  <c r="F156" i="33"/>
  <c r="F100" i="33"/>
  <c r="F1470" i="35"/>
  <c r="F1466" i="35"/>
  <c r="F1460" i="35"/>
  <c r="F1335" i="35"/>
  <c r="F1168" i="35"/>
  <c r="F1097" i="35"/>
  <c r="F993" i="35"/>
  <c r="F894" i="35"/>
  <c r="F774" i="35"/>
  <c r="F777" i="35" s="1"/>
  <c r="F714" i="35"/>
  <c r="F514" i="35" l="1"/>
  <c r="F506" i="35"/>
  <c r="F384" i="35"/>
  <c r="F356" i="35"/>
  <c r="E748" i="45" l="1"/>
  <c r="F348" i="35" l="1"/>
  <c r="F320" i="35"/>
  <c r="F275" i="35"/>
  <c r="F226" i="35" l="1"/>
  <c r="F220" i="35"/>
  <c r="F217" i="35"/>
  <c r="F115" i="35"/>
  <c r="F111" i="35"/>
  <c r="F40" i="35"/>
  <c r="J40" i="35" s="1"/>
  <c r="F15" i="35"/>
  <c r="E733" i="45"/>
  <c r="E730" i="45"/>
  <c r="E705" i="45"/>
  <c r="F154" i="35" l="1"/>
  <c r="F1045" i="35" l="1"/>
  <c r="F430" i="33" l="1"/>
  <c r="F427" i="33"/>
  <c r="F390" i="33"/>
  <c r="J390" i="33" s="1"/>
  <c r="F241" i="33" l="1"/>
  <c r="F235" i="33"/>
  <c r="F501" i="33" l="1"/>
  <c r="I1469" i="35" l="1"/>
  <c r="F382" i="33" l="1"/>
  <c r="F350" i="33"/>
  <c r="H128" i="45" l="1"/>
  <c r="F448" i="35" l="1"/>
  <c r="F833" i="35" l="1"/>
  <c r="F1273" i="35" l="1"/>
  <c r="F1267" i="35"/>
  <c r="F1185" i="35"/>
  <c r="F752" i="33" l="1"/>
  <c r="F755" i="33"/>
  <c r="F695" i="33"/>
  <c r="E343" i="45" l="1"/>
  <c r="F136" i="35" l="1"/>
  <c r="F135" i="35"/>
  <c r="F138" i="35" s="1"/>
  <c r="E315" i="45" l="1"/>
  <c r="F624" i="33"/>
  <c r="F87" i="33" l="1"/>
  <c r="F80" i="33"/>
  <c r="F25" i="35" l="1"/>
  <c r="F336" i="33" l="1"/>
  <c r="F263" i="33"/>
  <c r="F327" i="33"/>
  <c r="F497" i="33" l="1"/>
  <c r="F444" i="33"/>
  <c r="F162" i="35" l="1"/>
  <c r="F283" i="35" l="1"/>
  <c r="H268" i="45" l="1"/>
  <c r="H270" i="45"/>
  <c r="E485" i="45" l="1"/>
  <c r="E411" i="45" l="1"/>
  <c r="E407" i="45"/>
  <c r="E320" i="45" l="1"/>
  <c r="E271" i="45"/>
  <c r="D272" i="45" l="1"/>
  <c r="I271" i="45"/>
  <c r="E183" i="45"/>
  <c r="E240" i="45"/>
  <c r="E135" i="45" l="1"/>
  <c r="I135" i="45" s="1"/>
  <c r="H319" i="45" l="1"/>
  <c r="G319" i="45" s="1"/>
  <c r="E42" i="45" l="1"/>
  <c r="E40" i="45" s="1"/>
  <c r="E52" i="45"/>
  <c r="F825" i="33" l="1"/>
  <c r="F828" i="33" s="1"/>
  <c r="F1402" i="35"/>
  <c r="F478" i="33" l="1"/>
  <c r="F303" i="33"/>
  <c r="F318" i="33" s="1"/>
  <c r="F151" i="33" l="1"/>
  <c r="F755" i="35"/>
  <c r="F753" i="35" s="1"/>
  <c r="F1431" i="35"/>
  <c r="E120" i="45" l="1"/>
  <c r="F787" i="33" l="1"/>
  <c r="F721" i="33"/>
  <c r="F127" i="33"/>
  <c r="F73" i="35" l="1"/>
  <c r="F1354" i="35" l="1"/>
  <c r="F1291" i="35"/>
  <c r="F1211" i="35"/>
  <c r="F1196" i="35"/>
  <c r="F790" i="35"/>
  <c r="F760" i="35"/>
  <c r="F728" i="35"/>
  <c r="F670" i="35"/>
  <c r="F611" i="35"/>
  <c r="F492" i="35"/>
  <c r="E716" i="45" l="1"/>
  <c r="E354" i="45"/>
  <c r="E282" i="45"/>
  <c r="E194" i="45"/>
  <c r="E146" i="45"/>
  <c r="E542" i="45"/>
  <c r="E528" i="45"/>
  <c r="E434" i="45" l="1"/>
  <c r="F799" i="33" l="1"/>
  <c r="F797" i="33" s="1"/>
  <c r="F733" i="33"/>
  <c r="F731" i="33" s="1"/>
  <c r="F139" i="33" l="1"/>
  <c r="F137" i="33" s="1"/>
  <c r="F60" i="33"/>
  <c r="F58" i="33" s="1"/>
  <c r="F1381" i="35" l="1"/>
  <c r="F1379" i="35" s="1"/>
  <c r="F1369" i="35"/>
  <c r="F1318" i="35"/>
  <c r="F1316" i="35" s="1"/>
  <c r="F1223" i="35"/>
  <c r="F1221" i="35"/>
  <c r="F817" i="35"/>
  <c r="F805" i="35"/>
  <c r="F815" i="35"/>
  <c r="F697" i="35"/>
  <c r="F695" i="35" s="1"/>
  <c r="F78" i="35" l="1"/>
  <c r="F76" i="35" s="1"/>
  <c r="F366" i="33" l="1"/>
  <c r="F337" i="35" l="1"/>
  <c r="J263" i="33" l="1"/>
  <c r="I249" i="33"/>
  <c r="H249" i="33" s="1"/>
  <c r="H405" i="45" l="1"/>
  <c r="G405" i="45" s="1"/>
  <c r="I706" i="45" l="1"/>
  <c r="I183" i="45"/>
  <c r="E151" i="45" l="1"/>
  <c r="F517" i="33" l="1"/>
  <c r="F515" i="33" s="1"/>
  <c r="F508" i="33"/>
  <c r="F506" i="33" s="1"/>
  <c r="F429" i="35" l="1"/>
  <c r="F65" i="33"/>
  <c r="F794" i="33" l="1"/>
  <c r="F785" i="33" s="1"/>
  <c r="F728" i="33" l="1"/>
  <c r="F602" i="33"/>
  <c r="F593" i="33" s="1"/>
  <c r="F719" i="33" l="1"/>
  <c r="F296" i="33" l="1"/>
  <c r="F210" i="33"/>
  <c r="F201" i="33" s="1"/>
  <c r="F750" i="35"/>
  <c r="F134" i="33"/>
  <c r="F125" i="33" s="1"/>
  <c r="F55" i="33" l="1"/>
  <c r="F1438" i="35" l="1"/>
  <c r="F1376" i="35"/>
  <c r="F1367" i="35" s="1"/>
  <c r="F1313" i="35"/>
  <c r="F1218" i="35"/>
  <c r="F869" i="35"/>
  <c r="F860" i="35" s="1"/>
  <c r="F812" i="35"/>
  <c r="F803" i="35" s="1"/>
  <c r="F692" i="35"/>
  <c r="F633" i="35"/>
  <c r="F546" i="35"/>
  <c r="F484" i="35" l="1"/>
  <c r="F475" i="35" s="1"/>
  <c r="F420" i="35"/>
  <c r="F411" i="35" s="1"/>
  <c r="F718" i="33" l="1"/>
  <c r="F470" i="35" l="1"/>
  <c r="I237" i="33" l="1"/>
  <c r="H237" i="33" s="1"/>
  <c r="F373" i="35" l="1"/>
  <c r="F300" i="35"/>
  <c r="F556" i="35"/>
  <c r="E199" i="45"/>
  <c r="F1209" i="35" l="1"/>
  <c r="F1228" i="35"/>
  <c r="I84" i="33" l="1"/>
  <c r="H84" i="33" s="1"/>
  <c r="F598" i="35" l="1"/>
  <c r="I595" i="35"/>
  <c r="H595" i="35" s="1"/>
  <c r="I594" i="35"/>
  <c r="H594" i="35" s="1"/>
  <c r="I592" i="35"/>
  <c r="H592" i="35" s="1"/>
  <c r="I591" i="35"/>
  <c r="H591" i="35" s="1"/>
  <c r="I590" i="35"/>
  <c r="H590" i="35" s="1"/>
  <c r="I588" i="35"/>
  <c r="H588" i="35" s="1"/>
  <c r="I587" i="35"/>
  <c r="H587" i="35" s="1"/>
  <c r="I586" i="35"/>
  <c r="F733" i="45" l="1"/>
  <c r="J15" i="35" l="1"/>
  <c r="J16" i="35" s="1"/>
  <c r="I113" i="35" l="1"/>
  <c r="H113" i="35" l="1"/>
  <c r="I446" i="35" l="1"/>
  <c r="I447" i="35"/>
  <c r="I713" i="35" l="1"/>
  <c r="H713" i="35" s="1"/>
  <c r="I99" i="33" l="1"/>
  <c r="I343" i="45"/>
  <c r="J1184" i="35" l="1"/>
  <c r="H314" i="45" l="1"/>
  <c r="E329" i="45" l="1"/>
  <c r="E398" i="45" l="1"/>
  <c r="F649" i="33" l="1"/>
  <c r="F650" i="33"/>
  <c r="I690" i="33" l="1"/>
  <c r="H690" i="33" s="1"/>
  <c r="E244" i="45" l="1"/>
  <c r="F404" i="33" l="1"/>
  <c r="F708" i="35" l="1"/>
  <c r="F287" i="35"/>
  <c r="E419" i="45"/>
  <c r="E417" i="45" s="1"/>
  <c r="F825" i="35" l="1"/>
  <c r="F680" i="33" l="1"/>
  <c r="F810" i="33"/>
  <c r="F745" i="33"/>
  <c r="F618" i="33"/>
  <c r="F566" i="33"/>
  <c r="F492" i="33"/>
  <c r="F422" i="33"/>
  <c r="F421" i="33"/>
  <c r="F376" i="33"/>
  <c r="F228" i="33"/>
  <c r="F75" i="33"/>
  <c r="E578" i="45" l="1"/>
  <c r="E700" i="45"/>
  <c r="F822" i="33" l="1"/>
  <c r="I814" i="33"/>
  <c r="I815" i="33" s="1"/>
  <c r="F804" i="33"/>
  <c r="F780" i="33"/>
  <c r="F775" i="33"/>
  <c r="F762" i="33"/>
  <c r="I761" i="33"/>
  <c r="I762" i="33" s="1"/>
  <c r="I754" i="33"/>
  <c r="I755" i="33" s="1"/>
  <c r="I751" i="33"/>
  <c r="H751" i="33" s="1"/>
  <c r="I750" i="33"/>
  <c r="H750" i="33" s="1"/>
  <c r="I749" i="33"/>
  <c r="F738" i="33"/>
  <c r="F714" i="33"/>
  <c r="F709" i="33"/>
  <c r="F744" i="33"/>
  <c r="F742" i="33"/>
  <c r="I694" i="33"/>
  <c r="H694" i="33" s="1"/>
  <c r="I693" i="33"/>
  <c r="H693" i="33" s="1"/>
  <c r="I692" i="33"/>
  <c r="H692" i="33" s="1"/>
  <c r="I691" i="33"/>
  <c r="F677" i="33"/>
  <c r="F676" i="33" s="1"/>
  <c r="F665" i="33"/>
  <c r="F664" i="33"/>
  <c r="F669" i="33" s="1"/>
  <c r="F662" i="33"/>
  <c r="F661" i="33" s="1"/>
  <c r="F668" i="33" s="1"/>
  <c r="F670" i="33" s="1"/>
  <c r="F654" i="33"/>
  <c r="F647" i="33"/>
  <c r="F646" i="33" s="1"/>
  <c r="F653" i="33" s="1"/>
  <c r="F655" i="33" s="1"/>
  <c r="F635" i="33"/>
  <c r="F634" i="33"/>
  <c r="F639" i="33" s="1"/>
  <c r="F632" i="33"/>
  <c r="F631" i="33" s="1"/>
  <c r="F638" i="33" s="1"/>
  <c r="F640" i="33" s="1"/>
  <c r="F625" i="33"/>
  <c r="I623" i="33"/>
  <c r="H623" i="33" s="1"/>
  <c r="I622" i="33"/>
  <c r="H622" i="33" s="1"/>
  <c r="F613" i="33"/>
  <c r="F588" i="33"/>
  <c r="F583" i="33"/>
  <c r="F617" i="33"/>
  <c r="F563" i="33"/>
  <c r="F567" i="33" s="1"/>
  <c r="I499" i="33"/>
  <c r="I500" i="33"/>
  <c r="I496" i="33"/>
  <c r="I497" i="33" s="1"/>
  <c r="G497" i="33" s="1"/>
  <c r="F481" i="33"/>
  <c r="F474" i="33"/>
  <c r="F461" i="33"/>
  <c r="F456" i="33"/>
  <c r="I443" i="33"/>
  <c r="H443" i="33" s="1"/>
  <c r="I442" i="33"/>
  <c r="H442" i="33" s="1"/>
  <c r="I441" i="33"/>
  <c r="H441" i="33" s="1"/>
  <c r="I440" i="33"/>
  <c r="H440" i="33" s="1"/>
  <c r="I439" i="33"/>
  <c r="H439" i="33" s="1"/>
  <c r="I438" i="33"/>
  <c r="H438" i="33" s="1"/>
  <c r="G430" i="33"/>
  <c r="I429" i="33"/>
  <c r="H429" i="33" s="1"/>
  <c r="H430" i="33" s="1"/>
  <c r="I426" i="33"/>
  <c r="H426" i="33" s="1"/>
  <c r="H427" i="33" s="1"/>
  <c r="F395" i="33"/>
  <c r="F393" i="33" s="1"/>
  <c r="F419" i="33" s="1"/>
  <c r="F423" i="33" s="1"/>
  <c r="I389" i="33"/>
  <c r="H389" i="33" s="1"/>
  <c r="I388" i="33"/>
  <c r="F383" i="33"/>
  <c r="I381" i="33"/>
  <c r="H381" i="33" s="1"/>
  <c r="I380" i="33"/>
  <c r="F360" i="33"/>
  <c r="F375" i="33" s="1"/>
  <c r="F354" i="33"/>
  <c r="F352" i="33" s="1"/>
  <c r="F373" i="33" s="1"/>
  <c r="F377" i="33" s="1"/>
  <c r="I349" i="33"/>
  <c r="H349" i="33" s="1"/>
  <c r="I348" i="33"/>
  <c r="H348" i="33" s="1"/>
  <c r="I347" i="33"/>
  <c r="I335" i="33"/>
  <c r="H335" i="33" s="1"/>
  <c r="I334" i="33"/>
  <c r="H334" i="33" s="1"/>
  <c r="I333" i="33"/>
  <c r="H333" i="33" s="1"/>
  <c r="I332" i="33"/>
  <c r="H332" i="33" s="1"/>
  <c r="I331" i="33"/>
  <c r="H331" i="33" s="1"/>
  <c r="I330" i="33"/>
  <c r="H330" i="33" s="1"/>
  <c r="I329" i="33"/>
  <c r="I326" i="33"/>
  <c r="H326" i="33" s="1"/>
  <c r="I325" i="33"/>
  <c r="H325" i="33" s="1"/>
  <c r="I324" i="33"/>
  <c r="H324" i="33" s="1"/>
  <c r="I323" i="33"/>
  <c r="H323" i="33" s="1"/>
  <c r="I322" i="33"/>
  <c r="F306" i="33"/>
  <c r="F299" i="33"/>
  <c r="F289" i="33"/>
  <c r="F287" i="33" s="1"/>
  <c r="F282" i="33"/>
  <c r="F277" i="33"/>
  <c r="I262" i="33"/>
  <c r="H262" i="33" s="1"/>
  <c r="I261" i="33"/>
  <c r="H261" i="33" s="1"/>
  <c r="I260" i="33"/>
  <c r="H260" i="33" s="1"/>
  <c r="I259" i="33"/>
  <c r="H259" i="33" s="1"/>
  <c r="I258" i="33"/>
  <c r="H258" i="33" s="1"/>
  <c r="I257" i="33"/>
  <c r="H257" i="33" s="1"/>
  <c r="I256" i="33"/>
  <c r="H256" i="33" s="1"/>
  <c r="I255" i="33"/>
  <c r="H255" i="33" s="1"/>
  <c r="I254" i="33"/>
  <c r="H254" i="33" s="1"/>
  <c r="I253" i="33"/>
  <c r="H253" i="33" s="1"/>
  <c r="I252" i="33"/>
  <c r="H252" i="33" s="1"/>
  <c r="I251" i="33"/>
  <c r="H251" i="33" s="1"/>
  <c r="I250" i="33"/>
  <c r="H250" i="33" s="1"/>
  <c r="I248" i="33"/>
  <c r="H248" i="33" s="1"/>
  <c r="I247" i="33"/>
  <c r="H247" i="33" s="1"/>
  <c r="I240" i="33"/>
  <c r="H240" i="33" s="1"/>
  <c r="I239" i="33"/>
  <c r="H239" i="33" s="1"/>
  <c r="I238" i="33"/>
  <c r="F242" i="33"/>
  <c r="I234" i="33"/>
  <c r="H234" i="33" s="1"/>
  <c r="I233" i="33"/>
  <c r="H233" i="33" s="1"/>
  <c r="I232" i="33"/>
  <c r="H232" i="33" s="1"/>
  <c r="F220" i="33"/>
  <c r="F195" i="33"/>
  <c r="F190" i="33"/>
  <c r="F227" i="33"/>
  <c r="I176" i="33"/>
  <c r="H176" i="33" s="1"/>
  <c r="I172" i="33"/>
  <c r="H172" i="33" s="1"/>
  <c r="I175" i="33"/>
  <c r="H175" i="33" s="1"/>
  <c r="I174" i="33"/>
  <c r="H174" i="33" s="1"/>
  <c r="I173" i="33"/>
  <c r="F167" i="33"/>
  <c r="I162" i="33"/>
  <c r="H162" i="33" s="1"/>
  <c r="I161" i="33"/>
  <c r="H161" i="33" s="1"/>
  <c r="I160" i="33"/>
  <c r="H160" i="33" s="1"/>
  <c r="I159" i="33"/>
  <c r="H159" i="33" s="1"/>
  <c r="I158" i="33"/>
  <c r="H158" i="33" s="1"/>
  <c r="I155" i="33"/>
  <c r="H155" i="33" s="1"/>
  <c r="F144" i="33"/>
  <c r="F119" i="33"/>
  <c r="F114" i="33"/>
  <c r="F150" i="33"/>
  <c r="H99" i="33"/>
  <c r="I98" i="33"/>
  <c r="H98" i="33" s="1"/>
  <c r="I97" i="33"/>
  <c r="I86" i="33"/>
  <c r="H86" i="33" s="1"/>
  <c r="I85" i="33"/>
  <c r="H85" i="33" s="1"/>
  <c r="I83" i="33"/>
  <c r="H83" i="33" s="1"/>
  <c r="I82" i="33"/>
  <c r="H82" i="33" s="1"/>
  <c r="I79" i="33"/>
  <c r="F48" i="33"/>
  <c r="F46" i="33" s="1"/>
  <c r="F41" i="33"/>
  <c r="F36" i="33"/>
  <c r="I21" i="33"/>
  <c r="H21" i="33" s="1"/>
  <c r="I20" i="33"/>
  <c r="H20" i="33" s="1"/>
  <c r="I19" i="33"/>
  <c r="H19" i="33" s="1"/>
  <c r="I18" i="33"/>
  <c r="H18" i="33" s="1"/>
  <c r="I17" i="33"/>
  <c r="H17" i="33" s="1"/>
  <c r="I16" i="33"/>
  <c r="H16" i="33" s="1"/>
  <c r="I15" i="33"/>
  <c r="H15" i="33" s="1"/>
  <c r="I14" i="33"/>
  <c r="H14" i="33" s="1"/>
  <c r="I13" i="33"/>
  <c r="H13" i="33" s="1"/>
  <c r="I12" i="33"/>
  <c r="H12" i="33" s="1"/>
  <c r="I11" i="33"/>
  <c r="H11" i="33" s="1"/>
  <c r="I10" i="33"/>
  <c r="H10" i="33" s="1"/>
  <c r="H97" i="33" l="1"/>
  <c r="H100" i="33" s="1"/>
  <c r="I100" i="33"/>
  <c r="H499" i="33"/>
  <c r="I501" i="33"/>
  <c r="G501" i="33" s="1"/>
  <c r="F489" i="33"/>
  <c r="H263" i="33"/>
  <c r="F683" i="33"/>
  <c r="F685" i="33" s="1"/>
  <c r="F565" i="33"/>
  <c r="F1357" i="33"/>
  <c r="I241" i="33"/>
  <c r="G241" i="33" s="1"/>
  <c r="F72" i="33"/>
  <c r="F615" i="33"/>
  <c r="F809" i="33"/>
  <c r="I695" i="33"/>
  <c r="G695" i="33" s="1"/>
  <c r="H79" i="33"/>
  <c r="H80" i="33" s="1"/>
  <c r="I80" i="33"/>
  <c r="F816" i="33"/>
  <c r="F764" i="33"/>
  <c r="F491" i="33"/>
  <c r="F225" i="33"/>
  <c r="F315" i="33"/>
  <c r="F317" i="33"/>
  <c r="F148" i="33"/>
  <c r="F74" i="33"/>
  <c r="F679" i="33"/>
  <c r="F582" i="33"/>
  <c r="F616" i="33" s="1"/>
  <c r="G755" i="33"/>
  <c r="F35" i="33"/>
  <c r="F73" i="33" s="1"/>
  <c r="G762" i="33"/>
  <c r="H87" i="33"/>
  <c r="I336" i="33"/>
  <c r="G336" i="33" s="1"/>
  <c r="I350" i="33"/>
  <c r="G350" i="33" s="1"/>
  <c r="I382" i="33"/>
  <c r="I383" i="33" s="1"/>
  <c r="F455" i="33"/>
  <c r="F490" i="33" s="1"/>
  <c r="I752" i="33"/>
  <c r="G752" i="33" s="1"/>
  <c r="I177" i="33"/>
  <c r="G177" i="33" s="1"/>
  <c r="F189" i="33"/>
  <c r="F226" i="33" s="1"/>
  <c r="I263" i="33"/>
  <c r="G263" i="33" s="1"/>
  <c r="I327" i="33"/>
  <c r="G327" i="33" s="1"/>
  <c r="H431" i="33"/>
  <c r="I624" i="33"/>
  <c r="I625" i="33" s="1"/>
  <c r="G625" i="33" s="1"/>
  <c r="F774" i="33"/>
  <c r="I390" i="33"/>
  <c r="G390" i="33" s="1"/>
  <c r="F502" i="33"/>
  <c r="F88" i="33"/>
  <c r="H156" i="33"/>
  <c r="H163" i="33"/>
  <c r="F164" i="33"/>
  <c r="H173" i="33"/>
  <c r="H177" i="33" s="1"/>
  <c r="F337" i="33"/>
  <c r="H388" i="33"/>
  <c r="H390" i="33" s="1"/>
  <c r="F113" i="33"/>
  <c r="F149" i="33" s="1"/>
  <c r="H235" i="33"/>
  <c r="F276" i="33"/>
  <c r="F316" i="33" s="1"/>
  <c r="H347" i="33"/>
  <c r="H350" i="33" s="1"/>
  <c r="H380" i="33"/>
  <c r="H382" i="33" s="1"/>
  <c r="H383" i="33" s="1"/>
  <c r="F431" i="33"/>
  <c r="F708" i="33"/>
  <c r="F743" i="33" s="1"/>
  <c r="F756" i="33"/>
  <c r="H22" i="33"/>
  <c r="I22" i="33"/>
  <c r="G22" i="33" s="1"/>
  <c r="I87" i="33"/>
  <c r="G87" i="33" s="1"/>
  <c r="G100" i="33"/>
  <c r="I156" i="33"/>
  <c r="I163" i="33"/>
  <c r="G163" i="33" s="1"/>
  <c r="I235" i="33"/>
  <c r="H238" i="33"/>
  <c r="H241" i="33" s="1"/>
  <c r="H444" i="33"/>
  <c r="I816" i="33"/>
  <c r="G815" i="33"/>
  <c r="H322" i="33"/>
  <c r="H327" i="33" s="1"/>
  <c r="H329" i="33"/>
  <c r="H336" i="33" s="1"/>
  <c r="I427" i="33"/>
  <c r="I430" i="33"/>
  <c r="I444" i="33"/>
  <c r="G444" i="33" s="1"/>
  <c r="H496" i="33"/>
  <c r="H497" i="33" s="1"/>
  <c r="H500" i="33"/>
  <c r="H624" i="33"/>
  <c r="H625" i="33" s="1"/>
  <c r="H691" i="33"/>
  <c r="H695" i="33" s="1"/>
  <c r="H749" i="33"/>
  <c r="H752" i="33" s="1"/>
  <c r="H754" i="33"/>
  <c r="H755" i="33" s="1"/>
  <c r="H761" i="33"/>
  <c r="H762" i="33" s="1"/>
  <c r="H814" i="33"/>
  <c r="H815" i="33" s="1"/>
  <c r="H816" i="33" s="1"/>
  <c r="G80" i="33" l="1"/>
  <c r="I88" i="33"/>
  <c r="H501" i="33"/>
  <c r="H502" i="33" s="1"/>
  <c r="F619" i="33"/>
  <c r="F746" i="33"/>
  <c r="F152" i="33"/>
  <c r="F319" i="33"/>
  <c r="F229" i="33"/>
  <c r="F76" i="33"/>
  <c r="F493" i="33"/>
  <c r="G816" i="33"/>
  <c r="F807" i="33"/>
  <c r="F808" i="33"/>
  <c r="F684" i="33"/>
  <c r="I756" i="33"/>
  <c r="G756" i="33" s="1"/>
  <c r="H242" i="33"/>
  <c r="G382" i="33"/>
  <c r="G383" i="33" s="1"/>
  <c r="I502" i="33"/>
  <c r="G502" i="33" s="1"/>
  <c r="H88" i="33"/>
  <c r="G624" i="33"/>
  <c r="I337" i="33"/>
  <c r="G337" i="33" s="1"/>
  <c r="H164" i="33"/>
  <c r="H337" i="33"/>
  <c r="H756" i="33"/>
  <c r="I242" i="33"/>
  <c r="G242" i="33" s="1"/>
  <c r="G235" i="33"/>
  <c r="I164" i="33"/>
  <c r="G164" i="33" s="1"/>
  <c r="G156" i="33"/>
  <c r="I431" i="33"/>
  <c r="G431" i="33" s="1"/>
  <c r="G427" i="33"/>
  <c r="G88" i="33"/>
  <c r="F811" i="33" l="1"/>
  <c r="F342" i="35"/>
  <c r="F262" i="35"/>
  <c r="F198" i="35"/>
  <c r="F125" i="35"/>
  <c r="F1471" i="35" l="1"/>
  <c r="I1470" i="35"/>
  <c r="I1471" i="35" s="1"/>
  <c r="G1466" i="35"/>
  <c r="I1465" i="35"/>
  <c r="H1465" i="35" s="1"/>
  <c r="H1466" i="35" s="1"/>
  <c r="F1461" i="35"/>
  <c r="I1459" i="35"/>
  <c r="H1459" i="35" s="1"/>
  <c r="H1460" i="35" s="1"/>
  <c r="H1461" i="35" s="1"/>
  <c r="F1455" i="35"/>
  <c r="F1448" i="35"/>
  <c r="F1443" i="35"/>
  <c r="F1429" i="35"/>
  <c r="F1424" i="35"/>
  <c r="F1419" i="35"/>
  <c r="F1416" i="35"/>
  <c r="F1398" i="35"/>
  <c r="I1397" i="35"/>
  <c r="H1397" i="35" s="1"/>
  <c r="I1396" i="35"/>
  <c r="H1396" i="35" s="1"/>
  <c r="F1392" i="35"/>
  <c r="F1386" i="35"/>
  <c r="F1362" i="35"/>
  <c r="F1357" i="35"/>
  <c r="F1344" i="35"/>
  <c r="I1343" i="35"/>
  <c r="H1343" i="35" s="1"/>
  <c r="I1342" i="35"/>
  <c r="H1342" i="35" s="1"/>
  <c r="I1341" i="35"/>
  <c r="H1341" i="35" s="1"/>
  <c r="I1340" i="35"/>
  <c r="H1340" i="35" s="1"/>
  <c r="F1336" i="35"/>
  <c r="I1334" i="35"/>
  <c r="H1334" i="35" s="1"/>
  <c r="I1333" i="35"/>
  <c r="H1333" i="35" s="1"/>
  <c r="F1329" i="35"/>
  <c r="F1323" i="35"/>
  <c r="F1306" i="35"/>
  <c r="F1304" i="35" s="1"/>
  <c r="F1299" i="35"/>
  <c r="F1294" i="35"/>
  <c r="F1328" i="35"/>
  <c r="F1278" i="35"/>
  <c r="I1272" i="35"/>
  <c r="H1272" i="35" s="1"/>
  <c r="I1271" i="35"/>
  <c r="H1271" i="35" s="1"/>
  <c r="I1270" i="35"/>
  <c r="H1270" i="35" s="1"/>
  <c r="I1269" i="35"/>
  <c r="H1269" i="35" s="1"/>
  <c r="I1266" i="35"/>
  <c r="H1266" i="35" s="1"/>
  <c r="I1265" i="35"/>
  <c r="H1265" i="35" s="1"/>
  <c r="I1264" i="35"/>
  <c r="H1264" i="35" s="1"/>
  <c r="F1260" i="35"/>
  <c r="F1204" i="35"/>
  <c r="F1199" i="35"/>
  <c r="I1184" i="35"/>
  <c r="H1184" i="35" s="1"/>
  <c r="I1183" i="35"/>
  <c r="H1183" i="35" s="1"/>
  <c r="I1182" i="35"/>
  <c r="H1182" i="35" s="1"/>
  <c r="I1181" i="35"/>
  <c r="H1181" i="35" s="1"/>
  <c r="I1180" i="35"/>
  <c r="H1180" i="35" s="1"/>
  <c r="I1179" i="35"/>
  <c r="H1179" i="35" s="1"/>
  <c r="I1178" i="35"/>
  <c r="H1178" i="35" s="1"/>
  <c r="I1177" i="35"/>
  <c r="H1177" i="35" s="1"/>
  <c r="I1176" i="35"/>
  <c r="H1176" i="35" s="1"/>
  <c r="I1175" i="35"/>
  <c r="H1175" i="35" s="1"/>
  <c r="I1174" i="35"/>
  <c r="H1174" i="35" s="1"/>
  <c r="I1173" i="35"/>
  <c r="H1173" i="35" s="1"/>
  <c r="F1169" i="35"/>
  <c r="I1167" i="35"/>
  <c r="H1167" i="35" s="1"/>
  <c r="I1166" i="35"/>
  <c r="H1166" i="35" s="1"/>
  <c r="I1165" i="35"/>
  <c r="H1165" i="35" s="1"/>
  <c r="I1164" i="35"/>
  <c r="H1164" i="35" s="1"/>
  <c r="I1163" i="35"/>
  <c r="F1159" i="35"/>
  <c r="F1153" i="35"/>
  <c r="F1133" i="35"/>
  <c r="F1128" i="35"/>
  <c r="F1125" i="35"/>
  <c r="F1158" i="35" s="1"/>
  <c r="F1108" i="35"/>
  <c r="F1107" i="35" s="1"/>
  <c r="F1112" i="35" s="1"/>
  <c r="F1105" i="35"/>
  <c r="F1104" i="35" s="1"/>
  <c r="F1111" i="35" s="1"/>
  <c r="F1113" i="35" s="1"/>
  <c r="F1098" i="35"/>
  <c r="I1096" i="35"/>
  <c r="H1096" i="35" s="1"/>
  <c r="I1095" i="35"/>
  <c r="F1091" i="35"/>
  <c r="F1086" i="35"/>
  <c r="F1066" i="35"/>
  <c r="F1061" i="35"/>
  <c r="F1058" i="35"/>
  <c r="F1090" i="35" s="1"/>
  <c r="G1045" i="35"/>
  <c r="G1046" i="35" s="1"/>
  <c r="F1046" i="35"/>
  <c r="I1044" i="35"/>
  <c r="I1045" i="35" s="1"/>
  <c r="I1046" i="35" s="1"/>
  <c r="F1040" i="35"/>
  <c r="F1034" i="35"/>
  <c r="F1014" i="35"/>
  <c r="F1009" i="35"/>
  <c r="F1006" i="35"/>
  <c r="F1039" i="35" s="1"/>
  <c r="F994" i="35"/>
  <c r="I992" i="35"/>
  <c r="H992" i="35" s="1"/>
  <c r="I991" i="35"/>
  <c r="H991" i="35" s="1"/>
  <c r="I990" i="35"/>
  <c r="F986" i="35"/>
  <c r="F980" i="35"/>
  <c r="F960" i="35"/>
  <c r="F955" i="35"/>
  <c r="F952" i="35"/>
  <c r="F985" i="35" s="1"/>
  <c r="F945" i="35"/>
  <c r="F983" i="35" s="1"/>
  <c r="F936" i="35"/>
  <c r="F935" i="35" s="1"/>
  <c r="F940" i="35" s="1"/>
  <c r="F933" i="35"/>
  <c r="F932" i="35" s="1"/>
  <c r="F939" i="35" s="1"/>
  <c r="F941" i="35" s="1"/>
  <c r="F920" i="35"/>
  <c r="F919" i="35" s="1"/>
  <c r="F924" i="35" s="1"/>
  <c r="F917" i="35"/>
  <c r="F916" i="35" s="1"/>
  <c r="F923" i="35" s="1"/>
  <c r="F925" i="35" s="1"/>
  <c r="F905" i="35"/>
  <c r="F904" i="35"/>
  <c r="F909" i="35" s="1"/>
  <c r="F902" i="35"/>
  <c r="F901" i="35" s="1"/>
  <c r="I892" i="35"/>
  <c r="H892" i="35" s="1"/>
  <c r="F888" i="35"/>
  <c r="F880" i="35"/>
  <c r="F855" i="35"/>
  <c r="F850" i="35"/>
  <c r="F847" i="35"/>
  <c r="F887" i="35" s="1"/>
  <c r="G833" i="35"/>
  <c r="G834" i="35" s="1"/>
  <c r="F834" i="35"/>
  <c r="I832" i="35"/>
  <c r="I833" i="35" s="1"/>
  <c r="I834" i="35" s="1"/>
  <c r="F828" i="35"/>
  <c r="F822" i="35"/>
  <c r="F798" i="35"/>
  <c r="F793" i="35"/>
  <c r="F827" i="35"/>
  <c r="F778" i="35"/>
  <c r="I776" i="35"/>
  <c r="H776" i="35" s="1"/>
  <c r="I775" i="35"/>
  <c r="H775" i="35" s="1"/>
  <c r="I774" i="35"/>
  <c r="H774" i="35" s="1"/>
  <c r="I773" i="35"/>
  <c r="F769" i="35"/>
  <c r="F743" i="35"/>
  <c r="F741" i="35" s="1"/>
  <c r="F736" i="35"/>
  <c r="F731" i="35"/>
  <c r="F715" i="35"/>
  <c r="I712" i="35"/>
  <c r="I714" i="35" s="1"/>
  <c r="G714" i="35" s="1"/>
  <c r="F702" i="35"/>
  <c r="F685" i="35"/>
  <c r="F683" i="35" s="1"/>
  <c r="F678" i="35"/>
  <c r="F673" i="35"/>
  <c r="F707" i="35"/>
  <c r="F658" i="35"/>
  <c r="I656" i="35"/>
  <c r="H656" i="35" s="1"/>
  <c r="I655" i="35"/>
  <c r="H655" i="35" s="1"/>
  <c r="I654" i="35"/>
  <c r="H654" i="35" s="1"/>
  <c r="F650" i="35"/>
  <c r="F643" i="35"/>
  <c r="F626" i="35"/>
  <c r="F624" i="35" s="1"/>
  <c r="F619" i="35"/>
  <c r="F614" i="35"/>
  <c r="F649" i="35"/>
  <c r="I596" i="35"/>
  <c r="H596" i="35" s="1"/>
  <c r="I593" i="35"/>
  <c r="H593" i="35" s="1"/>
  <c r="I589" i="35"/>
  <c r="H589" i="35" s="1"/>
  <c r="I585" i="35"/>
  <c r="H585" i="35" s="1"/>
  <c r="F581" i="35"/>
  <c r="F539" i="35"/>
  <c r="F532" i="35"/>
  <c r="F527" i="35"/>
  <c r="F524" i="35"/>
  <c r="F580" i="35" s="1"/>
  <c r="I513" i="35"/>
  <c r="H513" i="35" s="1"/>
  <c r="I512" i="35"/>
  <c r="F507" i="35"/>
  <c r="I505" i="35"/>
  <c r="I506" i="35" s="1"/>
  <c r="F501" i="35"/>
  <c r="F465" i="35"/>
  <c r="F462" i="35"/>
  <c r="F500" i="35" s="1"/>
  <c r="F449" i="35"/>
  <c r="I445" i="35"/>
  <c r="I444" i="35"/>
  <c r="F440" i="35"/>
  <c r="F406" i="35"/>
  <c r="F401" i="35"/>
  <c r="F398" i="35"/>
  <c r="F439" i="35" s="1"/>
  <c r="F385" i="35"/>
  <c r="I383" i="35"/>
  <c r="H383" i="35" s="1"/>
  <c r="I382" i="35"/>
  <c r="F378" i="35"/>
  <c r="F368" i="35"/>
  <c r="F366" i="35"/>
  <c r="F377" i="35" s="1"/>
  <c r="F360" i="35"/>
  <c r="F358" i="35" s="1"/>
  <c r="F376" i="35" s="1"/>
  <c r="I355" i="35"/>
  <c r="H355" i="35" s="1"/>
  <c r="I354" i="35"/>
  <c r="H354" i="35" s="1"/>
  <c r="F349" i="35"/>
  <c r="I347" i="35"/>
  <c r="H347" i="35" s="1"/>
  <c r="I346" i="35"/>
  <c r="H346" i="35" s="1"/>
  <c r="F332" i="35"/>
  <c r="F330" i="35"/>
  <c r="F341" i="35" s="1"/>
  <c r="F324" i="35"/>
  <c r="F322" i="35" s="1"/>
  <c r="F340" i="35" s="1"/>
  <c r="F343" i="35" s="1"/>
  <c r="I319" i="35"/>
  <c r="H319" i="35" s="1"/>
  <c r="I318" i="35"/>
  <c r="H318" i="35" s="1"/>
  <c r="I317" i="35"/>
  <c r="F312" i="35"/>
  <c r="I310" i="35"/>
  <c r="H310" i="35" s="1"/>
  <c r="I309" i="35"/>
  <c r="F305" i="35"/>
  <c r="F293" i="35"/>
  <c r="F304" i="35" s="1"/>
  <c r="F285" i="35"/>
  <c r="I282" i="35"/>
  <c r="H282" i="35" s="1"/>
  <c r="I281" i="35"/>
  <c r="H281" i="35" s="1"/>
  <c r="I280" i="35"/>
  <c r="H280" i="35" s="1"/>
  <c r="G275" i="35"/>
  <c r="F276" i="35"/>
  <c r="I274" i="35"/>
  <c r="H274" i="35" s="1"/>
  <c r="I273" i="35"/>
  <c r="H273" i="35" s="1"/>
  <c r="F269" i="35"/>
  <c r="F243" i="35"/>
  <c r="F238" i="35"/>
  <c r="F235" i="35"/>
  <c r="F268" i="35" s="1"/>
  <c r="F228" i="35"/>
  <c r="I225" i="35"/>
  <c r="H225" i="35" s="1"/>
  <c r="H226" i="35" s="1"/>
  <c r="G220" i="35"/>
  <c r="I219" i="35"/>
  <c r="I220" i="35" s="1"/>
  <c r="G217" i="35"/>
  <c r="I216" i="35"/>
  <c r="H216" i="35" s="1"/>
  <c r="H217" i="35" s="1"/>
  <c r="F212" i="35"/>
  <c r="F192" i="35"/>
  <c r="F186" i="35"/>
  <c r="F184" i="35" s="1"/>
  <c r="F179" i="35"/>
  <c r="F174" i="35"/>
  <c r="F171" i="35"/>
  <c r="F211" i="35" s="1"/>
  <c r="F164" i="35"/>
  <c r="I161" i="35"/>
  <c r="H161" i="35" s="1"/>
  <c r="I160" i="35"/>
  <c r="H160" i="35" s="1"/>
  <c r="I159" i="35"/>
  <c r="F155" i="35"/>
  <c r="I153" i="35"/>
  <c r="H153" i="35" s="1"/>
  <c r="I152" i="35"/>
  <c r="I137" i="35"/>
  <c r="H137" i="35" s="1"/>
  <c r="I136" i="35"/>
  <c r="H136" i="35" s="1"/>
  <c r="I135" i="35"/>
  <c r="H135" i="35" s="1"/>
  <c r="I133" i="35"/>
  <c r="H133" i="35" s="1"/>
  <c r="I134" i="35"/>
  <c r="H134" i="35" s="1"/>
  <c r="I132" i="35"/>
  <c r="F127" i="35"/>
  <c r="I114" i="35"/>
  <c r="I110" i="35"/>
  <c r="H110" i="35" s="1"/>
  <c r="I109" i="35"/>
  <c r="H109" i="35" s="1"/>
  <c r="I108" i="35"/>
  <c r="H108" i="35" s="1"/>
  <c r="I107" i="35"/>
  <c r="H107" i="35" s="1"/>
  <c r="I106" i="35"/>
  <c r="H106" i="35" s="1"/>
  <c r="I105" i="35"/>
  <c r="H105" i="35" s="1"/>
  <c r="I104" i="35"/>
  <c r="H104" i="35" s="1"/>
  <c r="I103" i="35"/>
  <c r="F98" i="35"/>
  <c r="F83" i="35"/>
  <c r="F66" i="35"/>
  <c r="F64" i="35" s="1"/>
  <c r="F59" i="35"/>
  <c r="F54" i="35"/>
  <c r="F51" i="35"/>
  <c r="I39" i="35"/>
  <c r="H39" i="35" s="1"/>
  <c r="I38" i="35"/>
  <c r="H38" i="35" s="1"/>
  <c r="I37" i="35"/>
  <c r="H37" i="35" s="1"/>
  <c r="I36" i="35"/>
  <c r="H36" i="35" s="1"/>
  <c r="I35" i="35"/>
  <c r="H35" i="35" s="1"/>
  <c r="I34" i="35"/>
  <c r="H34" i="35" s="1"/>
  <c r="I33" i="35"/>
  <c r="H33" i="35" s="1"/>
  <c r="I32" i="35"/>
  <c r="H32" i="35" s="1"/>
  <c r="I31" i="35"/>
  <c r="H31" i="35" s="1"/>
  <c r="F26" i="35"/>
  <c r="I24" i="35"/>
  <c r="H24" i="35" s="1"/>
  <c r="I23" i="35"/>
  <c r="H23" i="35" s="1"/>
  <c r="F20" i="35"/>
  <c r="F19" i="35"/>
  <c r="I12" i="35"/>
  <c r="I14" i="35"/>
  <c r="H14" i="35" s="1"/>
  <c r="I13" i="35"/>
  <c r="H13" i="35" s="1"/>
  <c r="I162" i="35" l="1"/>
  <c r="G162" i="35" s="1"/>
  <c r="I514" i="35"/>
  <c r="G514" i="35" s="1"/>
  <c r="I15" i="35"/>
  <c r="G15" i="35" s="1"/>
  <c r="H132" i="35"/>
  <c r="I138" i="35"/>
  <c r="I384" i="35"/>
  <c r="G384" i="35" s="1"/>
  <c r="F1399" i="35"/>
  <c r="F537" i="35"/>
  <c r="F1037" i="35"/>
  <c r="F1156" i="35"/>
  <c r="F1088" i="35"/>
  <c r="F1441" i="35"/>
  <c r="F1454" i="35" s="1"/>
  <c r="F498" i="35"/>
  <c r="F266" i="35"/>
  <c r="F849" i="35"/>
  <c r="F886" i="35" s="1"/>
  <c r="F766" i="35"/>
  <c r="F647" i="35"/>
  <c r="F95" i="35"/>
  <c r="F379" i="35"/>
  <c r="F1257" i="35"/>
  <c r="I115" i="35"/>
  <c r="H12" i="35"/>
  <c r="H15" i="35" s="1"/>
  <c r="F303" i="35"/>
  <c r="F306" i="35" s="1"/>
  <c r="F237" i="35"/>
  <c r="F267" i="35" s="1"/>
  <c r="H1335" i="35"/>
  <c r="H1336" i="35" s="1"/>
  <c r="F1418" i="35"/>
  <c r="F1453" i="35" s="1"/>
  <c r="F1389" i="35"/>
  <c r="H275" i="35"/>
  <c r="H276" i="35" s="1"/>
  <c r="H283" i="35"/>
  <c r="G1471" i="35"/>
  <c r="F1008" i="35"/>
  <c r="F1038" i="35" s="1"/>
  <c r="F1127" i="35"/>
  <c r="F1157" i="35" s="1"/>
  <c r="H1267" i="35"/>
  <c r="F792" i="35"/>
  <c r="F826" i="35" s="1"/>
  <c r="F829" i="35" s="1"/>
  <c r="F672" i="35"/>
  <c r="F706" i="35" s="1"/>
  <c r="F53" i="35"/>
  <c r="F96" i="35" s="1"/>
  <c r="I320" i="35"/>
  <c r="G320" i="35" s="1"/>
  <c r="F1293" i="35"/>
  <c r="F1327" i="35" s="1"/>
  <c r="H138" i="35"/>
  <c r="I597" i="35"/>
  <c r="I598" i="35" s="1"/>
  <c r="G598" i="35" s="1"/>
  <c r="H40" i="35"/>
  <c r="H1273" i="35"/>
  <c r="F400" i="35"/>
  <c r="F438" i="35" s="1"/>
  <c r="F464" i="35"/>
  <c r="F499" i="35" s="1"/>
  <c r="F613" i="35"/>
  <c r="F648" i="35" s="1"/>
  <c r="F730" i="35"/>
  <c r="F767" i="35" s="1"/>
  <c r="F1356" i="35"/>
  <c r="I154" i="35"/>
  <c r="I311" i="35"/>
  <c r="G311" i="35" s="1"/>
  <c r="I993" i="35"/>
  <c r="I994" i="35" s="1"/>
  <c r="I1398" i="35"/>
  <c r="I1399" i="35" s="1"/>
  <c r="I111" i="35"/>
  <c r="H309" i="35"/>
  <c r="H311" i="35" s="1"/>
  <c r="H312" i="35" s="1"/>
  <c r="F526" i="35"/>
  <c r="F579" i="35" s="1"/>
  <c r="I777" i="35"/>
  <c r="I778" i="35" s="1"/>
  <c r="G778" i="35" s="1"/>
  <c r="H773" i="35"/>
  <c r="H777" i="35" s="1"/>
  <c r="H778" i="35" s="1"/>
  <c r="H1398" i="35"/>
  <c r="H1399" i="35" s="1"/>
  <c r="H152" i="35"/>
  <c r="H382" i="35"/>
  <c r="H384" i="35" s="1"/>
  <c r="H385" i="35" s="1"/>
  <c r="H512" i="35"/>
  <c r="H514" i="35" s="1"/>
  <c r="H597" i="35"/>
  <c r="H598" i="35" s="1"/>
  <c r="F705" i="35"/>
  <c r="H712" i="35"/>
  <c r="F1060" i="35"/>
  <c r="F1089" i="35" s="1"/>
  <c r="I1097" i="35"/>
  <c r="G1097" i="35" s="1"/>
  <c r="G1098" i="35" s="1"/>
  <c r="H1185" i="35"/>
  <c r="F1274" i="35"/>
  <c r="F768" i="35"/>
  <c r="H832" i="35"/>
  <c r="H833" i="35" s="1"/>
  <c r="H834" i="35" s="1"/>
  <c r="F954" i="35"/>
  <c r="F984" i="35" s="1"/>
  <c r="F987" i="35" s="1"/>
  <c r="H990" i="35"/>
  <c r="H993" i="35" s="1"/>
  <c r="H994" i="35" s="1"/>
  <c r="H1044" i="35"/>
  <c r="H1045" i="35" s="1"/>
  <c r="H1046" i="35" s="1"/>
  <c r="H1095" i="35"/>
  <c r="H1097" i="35" s="1"/>
  <c r="H1098" i="35" s="1"/>
  <c r="F1198" i="35"/>
  <c r="F1258" i="35" s="1"/>
  <c r="F1326" i="35"/>
  <c r="F97" i="35"/>
  <c r="H114" i="35"/>
  <c r="H115" i="35" s="1"/>
  <c r="F116" i="35"/>
  <c r="H159" i="35"/>
  <c r="H162" i="35" s="1"/>
  <c r="F173" i="35"/>
  <c r="F210" i="35" s="1"/>
  <c r="F209" i="35"/>
  <c r="F221" i="35"/>
  <c r="H317" i="35"/>
  <c r="H320" i="35" s="1"/>
  <c r="H356" i="35"/>
  <c r="F437" i="35"/>
  <c r="H505" i="35"/>
  <c r="H506" i="35" s="1"/>
  <c r="H507" i="35" s="1"/>
  <c r="F885" i="35"/>
  <c r="H103" i="35"/>
  <c r="H111" i="35" s="1"/>
  <c r="H25" i="35"/>
  <c r="H26" i="35" s="1"/>
  <c r="I40" i="35"/>
  <c r="G40" i="35" s="1"/>
  <c r="G138" i="35"/>
  <c r="I217" i="35"/>
  <c r="I221" i="35" s="1"/>
  <c r="F910" i="35"/>
  <c r="F908" i="35"/>
  <c r="I25" i="35"/>
  <c r="H219" i="35"/>
  <c r="H220" i="35" s="1"/>
  <c r="H221" i="35" s="1"/>
  <c r="H348" i="35"/>
  <c r="H349" i="35" s="1"/>
  <c r="H448" i="35"/>
  <c r="H449" i="35" s="1"/>
  <c r="I507" i="35"/>
  <c r="G507" i="35" s="1"/>
  <c r="G506" i="35"/>
  <c r="H657" i="35"/>
  <c r="H658" i="35" s="1"/>
  <c r="I715" i="35"/>
  <c r="G715" i="35" s="1"/>
  <c r="I226" i="35"/>
  <c r="G226" i="35" s="1"/>
  <c r="I275" i="35"/>
  <c r="I276" i="35" s="1"/>
  <c r="G276" i="35" s="1"/>
  <c r="I283" i="35"/>
  <c r="G283" i="35" s="1"/>
  <c r="I348" i="35"/>
  <c r="I356" i="35"/>
  <c r="G356" i="35" s="1"/>
  <c r="I448" i="35"/>
  <c r="I657" i="35"/>
  <c r="H1163" i="35"/>
  <c r="H1168" i="35" s="1"/>
  <c r="H1169" i="35" s="1"/>
  <c r="I1168" i="35"/>
  <c r="F1259" i="35"/>
  <c r="H1344" i="35"/>
  <c r="F1391" i="35"/>
  <c r="I1185" i="35"/>
  <c r="G1185" i="35" s="1"/>
  <c r="I1267" i="35"/>
  <c r="I1273" i="35"/>
  <c r="G1273" i="35" s="1"/>
  <c r="I1335" i="35"/>
  <c r="I1344" i="35"/>
  <c r="G1344" i="35" s="1"/>
  <c r="I1460" i="35"/>
  <c r="I1466" i="35"/>
  <c r="H1469" i="35"/>
  <c r="H1470" i="35" s="1"/>
  <c r="H1471" i="35" s="1"/>
  <c r="F99" i="35" l="1"/>
  <c r="F770" i="35"/>
  <c r="F1390" i="35"/>
  <c r="F1393" i="35" s="1"/>
  <c r="F710" i="35"/>
  <c r="F578" i="35"/>
  <c r="F582" i="35" s="1"/>
  <c r="F1330" i="35"/>
  <c r="F651" i="35"/>
  <c r="F1261" i="35"/>
  <c r="F709" i="35"/>
  <c r="F270" i="35"/>
  <c r="F1092" i="35"/>
  <c r="F1160" i="35"/>
  <c r="F1041" i="35"/>
  <c r="H116" i="35"/>
  <c r="I116" i="35"/>
  <c r="G116" i="35" s="1"/>
  <c r="G115" i="35"/>
  <c r="H154" i="35"/>
  <c r="H155" i="35" s="1"/>
  <c r="H714" i="35"/>
  <c r="H715" i="35" s="1"/>
  <c r="I155" i="35"/>
  <c r="G155" i="35" s="1"/>
  <c r="G154" i="35"/>
  <c r="F1452" i="35"/>
  <c r="G597" i="35"/>
  <c r="G993" i="35"/>
  <c r="G994" i="35" s="1"/>
  <c r="I385" i="35"/>
  <c r="G385" i="35" s="1"/>
  <c r="F441" i="35"/>
  <c r="G1398" i="35"/>
  <c r="G1399" i="35" s="1"/>
  <c r="F889" i="35"/>
  <c r="F213" i="35"/>
  <c r="I312" i="35"/>
  <c r="G312" i="35" s="1"/>
  <c r="I1098" i="35"/>
  <c r="G777" i="35"/>
  <c r="H1274" i="35"/>
  <c r="G111" i="35"/>
  <c r="G221" i="35"/>
  <c r="F502" i="35"/>
  <c r="I658" i="35"/>
  <c r="G658" i="35" s="1"/>
  <c r="G657" i="35"/>
  <c r="I26" i="35"/>
  <c r="G26" i="35" s="1"/>
  <c r="G25" i="35"/>
  <c r="I1461" i="35"/>
  <c r="G1460" i="35"/>
  <c r="G1461" i="35" s="1"/>
  <c r="I1336" i="35"/>
  <c r="G1336" i="35" s="1"/>
  <c r="G1335" i="35"/>
  <c r="I1274" i="35"/>
  <c r="G1274" i="35" s="1"/>
  <c r="G1267" i="35"/>
  <c r="I1169" i="35"/>
  <c r="G1168" i="35"/>
  <c r="G1169" i="35" s="1"/>
  <c r="I449" i="35"/>
  <c r="G449" i="35" s="1"/>
  <c r="G448" i="35"/>
  <c r="I349" i="35"/>
  <c r="G349" i="35" s="1"/>
  <c r="G348" i="35"/>
  <c r="F1456" i="35" l="1"/>
  <c r="E359" i="45" l="1"/>
  <c r="E171" i="45"/>
  <c r="E112" i="45" l="1"/>
  <c r="H599" i="45" l="1"/>
  <c r="G599" i="45" s="1"/>
  <c r="H16" i="45" l="1"/>
  <c r="G16" i="45" s="1"/>
  <c r="H14" i="45"/>
  <c r="G14" i="45" s="1"/>
  <c r="E600" i="45" l="1"/>
  <c r="E621" i="45" l="1"/>
  <c r="E656" i="45" l="1"/>
  <c r="H655" i="45"/>
  <c r="G655" i="45" s="1"/>
  <c r="G656" i="45" s="1"/>
  <c r="H656" i="45" l="1"/>
  <c r="F656" i="45" l="1"/>
  <c r="H125" i="45" l="1"/>
  <c r="G125" i="45" s="1"/>
  <c r="E738" i="45" l="1"/>
  <c r="E676" i="45"/>
  <c r="E721" i="45"/>
  <c r="E653" i="45" l="1"/>
  <c r="H652" i="45"/>
  <c r="G652" i="45" s="1"/>
  <c r="G653" i="45" s="1"/>
  <c r="G657" i="45" s="1"/>
  <c r="E657" i="45" l="1"/>
  <c r="H653" i="45"/>
  <c r="H657" i="45" s="1"/>
  <c r="E493" i="45"/>
  <c r="E491" i="45" s="1"/>
  <c r="E513" i="45" s="1"/>
  <c r="F653" i="45" l="1"/>
  <c r="F657" i="45"/>
  <c r="H588" i="45" l="1"/>
  <c r="G588" i="45" s="1"/>
  <c r="H589" i="45"/>
  <c r="G589" i="45" s="1"/>
  <c r="H36" i="45" l="1"/>
  <c r="H35" i="45"/>
  <c r="H34" i="45"/>
  <c r="H33" i="45"/>
  <c r="H32" i="45"/>
  <c r="H31" i="45"/>
  <c r="H30" i="45"/>
  <c r="H29" i="45"/>
  <c r="H28" i="45"/>
  <c r="H27" i="45"/>
  <c r="H26" i="45"/>
  <c r="H25" i="45"/>
  <c r="H24" i="45"/>
  <c r="H23" i="45"/>
  <c r="H22" i="45"/>
  <c r="H21" i="45"/>
  <c r="H20" i="45"/>
  <c r="H19" i="45"/>
  <c r="H18" i="45"/>
  <c r="H17" i="45"/>
  <c r="H15" i="45"/>
  <c r="H13" i="45"/>
  <c r="H12" i="45"/>
  <c r="E662" i="45" l="1"/>
  <c r="E693" i="45"/>
  <c r="E606" i="45" l="1"/>
  <c r="E486" i="45" l="1"/>
  <c r="E749" i="45" l="1"/>
  <c r="E252" i="45" l="1"/>
  <c r="E711" i="45" l="1"/>
  <c r="E709" i="45" s="1"/>
  <c r="E667" i="45"/>
  <c r="E665" i="45" s="1"/>
  <c r="E612" i="45"/>
  <c r="E559" i="45"/>
  <c r="E400" i="45"/>
  <c r="E349" i="45"/>
  <c r="E277" i="45"/>
  <c r="E231" i="45"/>
  <c r="E230" i="45"/>
  <c r="E189" i="45"/>
  <c r="E141" i="45"/>
  <c r="E139" i="45" s="1"/>
  <c r="E541" i="45" l="1"/>
  <c r="F705" i="45" l="1"/>
  <c r="H704" i="45"/>
  <c r="G704" i="45" s="1"/>
  <c r="G705" i="45" s="1"/>
  <c r="E724" i="45"/>
  <c r="E723" i="45"/>
  <c r="E686" i="45"/>
  <c r="E610" i="45"/>
  <c r="E557" i="45"/>
  <c r="E571" i="45" s="1"/>
  <c r="E574" i="45" s="1"/>
  <c r="E539" i="45"/>
  <c r="E538" i="45" s="1"/>
  <c r="E546" i="45"/>
  <c r="E689" i="45" l="1"/>
  <c r="E646" i="45"/>
  <c r="E649" i="45" s="1"/>
  <c r="E726" i="45"/>
  <c r="E545" i="45"/>
  <c r="E547" i="45"/>
  <c r="H705" i="45"/>
  <c r="E548" i="45" l="1"/>
  <c r="E1364" i="45"/>
  <c r="E525" i="45"/>
  <c r="E527" i="45"/>
  <c r="E512" i="45"/>
  <c r="E501" i="45"/>
  <c r="E499" i="45" s="1"/>
  <c r="E511" i="45" s="1"/>
  <c r="E479" i="45"/>
  <c r="E429" i="45"/>
  <c r="E427" i="45" s="1"/>
  <c r="E532" i="45" l="1"/>
  <c r="E524" i="45"/>
  <c r="E510" i="45"/>
  <c r="E533" i="45" l="1"/>
  <c r="E531" i="45"/>
  <c r="E534" i="45" l="1"/>
  <c r="E347" i="45"/>
  <c r="E399" i="45" l="1"/>
  <c r="E478" i="45"/>
  <c r="E477" i="45"/>
  <c r="E307" i="45"/>
  <c r="E287" i="45"/>
  <c r="E284" i="45"/>
  <c r="E308" i="45" s="1"/>
  <c r="E480" i="45" l="1"/>
  <c r="E275" i="45"/>
  <c r="E187" i="45"/>
  <c r="E229" i="45" s="1"/>
  <c r="E306" i="45" l="1"/>
  <c r="E232" i="45"/>
  <c r="E157" i="45"/>
  <c r="E309" i="45" l="1"/>
  <c r="E148" i="45"/>
  <c r="E158" i="45" s="1"/>
  <c r="E87" i="45"/>
  <c r="E86" i="45"/>
  <c r="E85" i="45"/>
  <c r="E88" i="45" l="1"/>
  <c r="E156" i="45"/>
  <c r="E159" i="45" l="1"/>
  <c r="G21" i="45" l="1"/>
  <c r="G24" i="45"/>
  <c r="G23" i="45"/>
  <c r="G25" i="45"/>
  <c r="G22" i="45"/>
  <c r="G20" i="45"/>
  <c r="G17" i="45"/>
  <c r="G19" i="45"/>
  <c r="G28" i="45"/>
  <c r="G27" i="45"/>
  <c r="G18" i="45"/>
  <c r="G13" i="45"/>
  <c r="G35" i="45"/>
  <c r="G33" i="45"/>
  <c r="G26" i="45"/>
  <c r="G32" i="45"/>
  <c r="G30" i="45"/>
  <c r="G31" i="45"/>
  <c r="G34" i="45"/>
  <c r="G12" i="45"/>
  <c r="G36" i="45"/>
  <c r="H11" i="45"/>
  <c r="G11" i="45" s="1"/>
  <c r="G15" i="45"/>
  <c r="G29" i="45"/>
  <c r="H747" i="45" l="1"/>
  <c r="G747" i="45" l="1"/>
  <c r="G748" i="45" s="1"/>
  <c r="G749" i="45" s="1"/>
  <c r="H748" i="45"/>
  <c r="H749" i="45" l="1"/>
  <c r="F748" i="45"/>
  <c r="F749" i="45" s="1"/>
  <c r="E166" i="45" l="1"/>
  <c r="E356" i="45"/>
  <c r="E401" i="45" s="1"/>
  <c r="E518" i="45"/>
  <c r="E565" i="45"/>
  <c r="E568" i="45"/>
  <c r="E609" i="45"/>
  <c r="E673" i="45"/>
  <c r="E694" i="45"/>
  <c r="E718" i="45"/>
  <c r="E402" i="45" l="1"/>
  <c r="E107" i="45"/>
  <c r="E321" i="45"/>
  <c r="E582" i="45"/>
  <c r="E412" i="45"/>
  <c r="E734" i="45"/>
  <c r="E241" i="45"/>
  <c r="H592" i="45" l="1"/>
  <c r="G592" i="45" s="1"/>
  <c r="H410" i="45"/>
  <c r="G410" i="45" s="1"/>
  <c r="G164" i="45"/>
  <c r="G162" i="45"/>
  <c r="H104" i="45" l="1"/>
  <c r="G104" i="45" s="1"/>
  <c r="H105" i="45"/>
  <c r="H103" i="45"/>
  <c r="G103" i="45" s="1"/>
  <c r="H95" i="45"/>
  <c r="G95" i="45" s="1"/>
  <c r="H106" i="45" l="1"/>
  <c r="G105" i="45"/>
  <c r="G106" i="45" s="1"/>
  <c r="H260" i="45" l="1"/>
  <c r="G260" i="45" s="1"/>
  <c r="H264" i="45"/>
  <c r="G264" i="45" s="1"/>
  <c r="H262" i="45"/>
  <c r="G262" i="45" s="1"/>
  <c r="H267" i="45"/>
  <c r="G267" i="45" s="1"/>
  <c r="H263" i="45"/>
  <c r="G263" i="45" s="1"/>
  <c r="H265" i="45"/>
  <c r="G265" i="45" s="1"/>
  <c r="H257" i="45"/>
  <c r="G257" i="45" s="1"/>
  <c r="H259" i="45"/>
  <c r="G259" i="45" s="1"/>
  <c r="H261" i="45"/>
  <c r="G261" i="45" s="1"/>
  <c r="H258" i="45"/>
  <c r="G258" i="45" s="1"/>
  <c r="G270" i="45"/>
  <c r="G268" i="45"/>
  <c r="H266" i="45"/>
  <c r="G266" i="45" s="1"/>
  <c r="H269" i="45"/>
  <c r="G269" i="45" s="1"/>
  <c r="H235" i="45" l="1"/>
  <c r="H236" i="45" s="1"/>
  <c r="F236" i="45" s="1"/>
  <c r="G235" i="45" l="1"/>
  <c r="G236" i="45" s="1"/>
  <c r="H516" i="45" l="1"/>
  <c r="H517" i="45" s="1"/>
  <c r="F517" i="45" s="1"/>
  <c r="G516" i="45" l="1"/>
  <c r="G517" i="45" s="1"/>
  <c r="H518" i="45"/>
  <c r="F518" i="45" s="1"/>
  <c r="G518" i="45" l="1"/>
  <c r="H604" i="45" l="1"/>
  <c r="G604" i="45" s="1"/>
  <c r="G483" i="45" l="1"/>
  <c r="G484" i="45" l="1"/>
  <c r="G485" i="45" s="1"/>
  <c r="G486" i="45" s="1"/>
  <c r="H485" i="45" l="1"/>
  <c r="H486" i="45" s="1"/>
  <c r="F486" i="45" l="1"/>
  <c r="F485" i="45"/>
  <c r="H182" i="45" l="1"/>
  <c r="H729" i="45" l="1"/>
  <c r="H605" i="45" l="1"/>
  <c r="H606" i="45" s="1"/>
  <c r="F606" i="45" s="1"/>
  <c r="H661" i="45"/>
  <c r="H732" i="45"/>
  <c r="H733" i="45" s="1"/>
  <c r="H692" i="45"/>
  <c r="H580" i="45"/>
  <c r="H581" i="45" s="1"/>
  <c r="H552" i="45"/>
  <c r="H312" i="45"/>
  <c r="H239" i="45"/>
  <c r="H181" i="45"/>
  <c r="H177" i="45"/>
  <c r="H176" i="45"/>
  <c r="H179" i="45"/>
  <c r="H178" i="45"/>
  <c r="H96" i="45"/>
  <c r="H100" i="45"/>
  <c r="H97" i="45"/>
  <c r="H98" i="45"/>
  <c r="H92" i="45"/>
  <c r="H127" i="45" l="1"/>
  <c r="H598" i="45"/>
  <c r="H593" i="45"/>
  <c r="G593" i="45" s="1"/>
  <c r="H591" i="45"/>
  <c r="G591" i="45" s="1"/>
  <c r="H586" i="45"/>
  <c r="H597" i="45"/>
  <c r="G597" i="45" s="1"/>
  <c r="H595" i="45"/>
  <c r="G595" i="45" s="1"/>
  <c r="H594" i="45"/>
  <c r="G594" i="45" s="1"/>
  <c r="H587" i="45"/>
  <c r="G587" i="45" s="1"/>
  <c r="H590" i="45"/>
  <c r="G590" i="45" s="1"/>
  <c r="H596" i="45"/>
  <c r="G596" i="45" s="1"/>
  <c r="H91" i="45"/>
  <c r="H126" i="45"/>
  <c r="H337" i="45"/>
  <c r="H338" i="45"/>
  <c r="H129" i="45"/>
  <c r="G129" i="45" s="1"/>
  <c r="H341" i="45"/>
  <c r="H132" i="45"/>
  <c r="H130" i="45"/>
  <c r="H134" i="45"/>
  <c r="H342" i="45"/>
  <c r="H340" i="45"/>
  <c r="H339" i="45"/>
  <c r="H180" i="45"/>
  <c r="H577" i="45"/>
  <c r="H409" i="45"/>
  <c r="H411" i="45" s="1"/>
  <c r="F411" i="45" s="1"/>
  <c r="H318" i="45"/>
  <c r="H313" i="45"/>
  <c r="H317" i="45"/>
  <c r="F165" i="45"/>
  <c r="H94" i="45"/>
  <c r="H99" i="45"/>
  <c r="H93" i="45"/>
  <c r="H320" i="45" l="1"/>
  <c r="F320" i="45" s="1"/>
  <c r="G586" i="45"/>
  <c r="H600" i="45"/>
  <c r="H315" i="45"/>
  <c r="H101" i="45"/>
  <c r="H406" i="45"/>
  <c r="H183" i="45"/>
  <c r="F183" i="45" s="1"/>
  <c r="H343" i="45"/>
  <c r="H271" i="45"/>
  <c r="F271" i="45" s="1"/>
  <c r="H238" i="45"/>
  <c r="H240" i="45" s="1"/>
  <c r="G406" i="45" l="1"/>
  <c r="H407" i="45"/>
  <c r="F407" i="45" s="1"/>
  <c r="F240" i="45"/>
  <c r="H241" i="45"/>
  <c r="F241" i="45" s="1"/>
  <c r="F343" i="45"/>
  <c r="H37" i="45" l="1"/>
  <c r="F37" i="45" l="1"/>
  <c r="G179" i="45" l="1"/>
  <c r="G732" i="45" l="1"/>
  <c r="G733" i="45" s="1"/>
  <c r="G313" i="45" l="1"/>
  <c r="G94" i="45" l="1"/>
  <c r="G99" i="45" l="1"/>
  <c r="G729" i="45" l="1"/>
  <c r="G730" i="45" l="1"/>
  <c r="H730" i="45"/>
  <c r="F730" i="45" l="1"/>
  <c r="G734" i="45"/>
  <c r="H734" i="45"/>
  <c r="G580" i="45" l="1"/>
  <c r="G581" i="45" s="1"/>
  <c r="G577" i="45"/>
  <c r="G578" i="45" l="1"/>
  <c r="F581" i="45"/>
  <c r="H578" i="45"/>
  <c r="F578" i="45" s="1"/>
  <c r="G582" i="45" l="1"/>
  <c r="H582" i="45"/>
  <c r="F582" i="45" s="1"/>
  <c r="G317" i="45"/>
  <c r="G320" i="45" s="1"/>
  <c r="G238" i="45" l="1"/>
  <c r="G239" i="45"/>
  <c r="F106" i="45"/>
  <c r="G240" i="45" l="1"/>
  <c r="G241" i="45" s="1"/>
  <c r="H693" i="45" l="1"/>
  <c r="F693" i="45" l="1"/>
  <c r="F694" i="45" s="1"/>
  <c r="G692" i="45"/>
  <c r="G693" i="45" l="1"/>
  <c r="H694" i="45"/>
  <c r="G694" i="45" l="1"/>
  <c r="G338" i="45" l="1"/>
  <c r="G342" i="45"/>
  <c r="G340" i="45"/>
  <c r="G341" i="45"/>
  <c r="G337" i="45"/>
  <c r="G339" i="45"/>
  <c r="G126" i="45"/>
  <c r="F734" i="45" l="1"/>
  <c r="F101" i="45"/>
  <c r="H662" i="45"/>
  <c r="F662" i="45" s="1"/>
  <c r="G178" i="45"/>
  <c r="F600" i="45"/>
  <c r="G661" i="45"/>
  <c r="G315" i="45"/>
  <c r="G407" i="45"/>
  <c r="G134" i="45"/>
  <c r="G130" i="45"/>
  <c r="G181" i="45"/>
  <c r="G127" i="45"/>
  <c r="G128" i="45"/>
  <c r="G133" i="45"/>
  <c r="G132" i="45"/>
  <c r="G343" i="45"/>
  <c r="G177" i="45"/>
  <c r="G176" i="45"/>
  <c r="G92" i="45"/>
  <c r="G96" i="45"/>
  <c r="G91" i="45"/>
  <c r="G100" i="45"/>
  <c r="G93" i="45"/>
  <c r="G97" i="45"/>
  <c r="G98" i="45"/>
  <c r="G163" i="45"/>
  <c r="G165" i="45" s="1"/>
  <c r="G180" i="45"/>
  <c r="G598" i="45"/>
  <c r="G600" i="45" s="1"/>
  <c r="G409" i="45"/>
  <c r="G411" i="45" s="1"/>
  <c r="G552" i="45"/>
  <c r="H553" i="45"/>
  <c r="G605" i="45"/>
  <c r="G606" i="45" s="1"/>
  <c r="G183" i="45" l="1"/>
  <c r="F553" i="45"/>
  <c r="G101" i="45"/>
  <c r="G37" i="45"/>
  <c r="F315" i="45"/>
  <c r="H321" i="45"/>
  <c r="F321" i="45" s="1"/>
  <c r="G166" i="45"/>
  <c r="G271" i="45"/>
  <c r="G321" i="45"/>
  <c r="G662" i="45"/>
  <c r="G553" i="45"/>
  <c r="H412" i="45"/>
  <c r="H107" i="45"/>
  <c r="H166" i="45"/>
  <c r="F107" i="45" l="1"/>
  <c r="F166" i="45"/>
  <c r="F412" i="45"/>
  <c r="G412" i="45"/>
  <c r="G107" i="45"/>
  <c r="H131" i="45" l="1"/>
  <c r="G131" i="45" s="1"/>
  <c r="H135" i="45" l="1"/>
  <c r="G135" i="45"/>
  <c r="F135" i="45" l="1"/>
  <c r="I893" i="35" l="1"/>
  <c r="I894" i="35" s="1"/>
  <c r="I895" i="35" s="1"/>
  <c r="F895" i="35"/>
  <c r="H893" i="35" l="1"/>
  <c r="H894" i="35" s="1"/>
  <c r="H895" i="35" s="1"/>
  <c r="G894" i="35"/>
  <c r="G895" i="35" s="1"/>
</calcChain>
</file>

<file path=xl/sharedStrings.xml><?xml version="1.0" encoding="utf-8"?>
<sst xmlns="http://schemas.openxmlformats.org/spreadsheetml/2006/main" count="6617" uniqueCount="435">
  <si>
    <t>Средняя длительность пребывания  (дни)</t>
  </si>
  <si>
    <t>Занятость койки (дни)</t>
  </si>
  <si>
    <t>Кол-во коек (ОМС)</t>
  </si>
  <si>
    <t>( профиль коек)</t>
  </si>
  <si>
    <t>Круглосуточный стационар</t>
  </si>
  <si>
    <t>Итого по круглосуточному стационару</t>
  </si>
  <si>
    <t>Поликлиника</t>
  </si>
  <si>
    <t>Дневные стационары всех типов</t>
  </si>
  <si>
    <t>отоларингологические</t>
  </si>
  <si>
    <t>Итого по СДП</t>
  </si>
  <si>
    <t>хирургические</t>
  </si>
  <si>
    <t>урологические</t>
  </si>
  <si>
    <t>проктологические</t>
  </si>
  <si>
    <t>пульмонологические</t>
  </si>
  <si>
    <t>токсикологические</t>
  </si>
  <si>
    <t>Холтеровское мониторирование</t>
  </si>
  <si>
    <t>Исследование гормонов</t>
  </si>
  <si>
    <t>Компьютерная томография</t>
  </si>
  <si>
    <t>Дневной стационар при поликлинике</t>
  </si>
  <si>
    <t>терапевтические</t>
  </si>
  <si>
    <t>кардиологические</t>
  </si>
  <si>
    <t>гинекологические</t>
  </si>
  <si>
    <t>патологии беременности</t>
  </si>
  <si>
    <t>аллергологические</t>
  </si>
  <si>
    <t>педиатрические</t>
  </si>
  <si>
    <t>инфекционные</t>
  </si>
  <si>
    <t>для беременных и рожениц</t>
  </si>
  <si>
    <t>Цитологические исследования</t>
  </si>
  <si>
    <t>Компьютерная томография с внутривенным усилением</t>
  </si>
  <si>
    <t>сосудистой хирургии</t>
  </si>
  <si>
    <t>МРТ</t>
  </si>
  <si>
    <t>Флюорография</t>
  </si>
  <si>
    <t>гастроэнтерологические</t>
  </si>
  <si>
    <t>эндокринологические</t>
  </si>
  <si>
    <t xml:space="preserve">кардиологические </t>
  </si>
  <si>
    <t xml:space="preserve">терапевтические </t>
  </si>
  <si>
    <t xml:space="preserve">пульмонологические </t>
  </si>
  <si>
    <t xml:space="preserve">неврологические </t>
  </si>
  <si>
    <t xml:space="preserve">ортопедические </t>
  </si>
  <si>
    <t xml:space="preserve">урологические </t>
  </si>
  <si>
    <t xml:space="preserve">педиатрические </t>
  </si>
  <si>
    <t xml:space="preserve">нефрологические </t>
  </si>
  <si>
    <t>ревматологические</t>
  </si>
  <si>
    <t>офтальмологические</t>
  </si>
  <si>
    <t>хирургические гнойные</t>
  </si>
  <si>
    <t xml:space="preserve">эндокринологические </t>
  </si>
  <si>
    <t xml:space="preserve">нейрохирургические </t>
  </si>
  <si>
    <t xml:space="preserve">для беременных и рожениц </t>
  </si>
  <si>
    <t xml:space="preserve">патологии беременности </t>
  </si>
  <si>
    <t xml:space="preserve">гинекологические </t>
  </si>
  <si>
    <t>Рентгенография</t>
  </si>
  <si>
    <t>ЭКГ</t>
  </si>
  <si>
    <t>Спирография</t>
  </si>
  <si>
    <t>ИФА-диагностика</t>
  </si>
  <si>
    <t>Реоэнцефалография</t>
  </si>
  <si>
    <t>неврологические</t>
  </si>
  <si>
    <t>травматологические</t>
  </si>
  <si>
    <t>гематологические</t>
  </si>
  <si>
    <t>торакальной хирургии</t>
  </si>
  <si>
    <t>кардиохирургические</t>
  </si>
  <si>
    <t>ортопедические</t>
  </si>
  <si>
    <t>нефрологические</t>
  </si>
  <si>
    <t>Компьютерная аудиометрия</t>
  </si>
  <si>
    <t>нейрохирургические</t>
  </si>
  <si>
    <t>ожоговые</t>
  </si>
  <si>
    <t>детская кардиология</t>
  </si>
  <si>
    <t>аллергология-иммунология</t>
  </si>
  <si>
    <t>онкогематология</t>
  </si>
  <si>
    <t>радиологические</t>
  </si>
  <si>
    <t xml:space="preserve">хирургические </t>
  </si>
  <si>
    <t>дерматологические</t>
  </si>
  <si>
    <t xml:space="preserve">Дневной стационар при поликлинике </t>
  </si>
  <si>
    <t>Определение онкомаркеров аппаратом эксперт-класса</t>
  </si>
  <si>
    <t>патологии новорожденных  и недоношенных детей</t>
  </si>
  <si>
    <t xml:space="preserve">офтальмологические </t>
  </si>
  <si>
    <t>челюстно-лицевой хирургии</t>
  </si>
  <si>
    <t>онкологические абдоминальные</t>
  </si>
  <si>
    <t>онкологические</t>
  </si>
  <si>
    <t xml:space="preserve">гастроэнтерологические </t>
  </si>
  <si>
    <t>патологии новорожденных и недоношенных детей</t>
  </si>
  <si>
    <t>хирургические для детей</t>
  </si>
  <si>
    <t>онкогинекологические</t>
  </si>
  <si>
    <t>онкоурологические</t>
  </si>
  <si>
    <t>онкологические торакальные</t>
  </si>
  <si>
    <t>онкологические (химиотерапевтические)</t>
  </si>
  <si>
    <t>кардиологические для больных с острым инфарктом миокарда</t>
  </si>
  <si>
    <t>Итого по дневным стационарам всех типов</t>
  </si>
  <si>
    <t xml:space="preserve">Итого по дневным стационарам всех типов </t>
  </si>
  <si>
    <t>2. Обращения по поводу заболевания</t>
  </si>
  <si>
    <t>ИССЛЕДОВАНИЯ:</t>
  </si>
  <si>
    <t>медицинская реабилитация</t>
  </si>
  <si>
    <t>Стационар дневного пребывания</t>
  </si>
  <si>
    <t>Итого по ДС</t>
  </si>
  <si>
    <t>Полное офтальмологическое диагностическое обследование</t>
  </si>
  <si>
    <t>Перитонеальный диализ, сеанс лечения</t>
  </si>
  <si>
    <t xml:space="preserve">Экстракорпоральное оплодотворение </t>
  </si>
  <si>
    <t>Поликлиника (по самостоятельным тарифам)</t>
  </si>
  <si>
    <t>Электроэнцефалография (ЭЭГ)</t>
  </si>
  <si>
    <t>ПЦР-диагностика (Realtime)</t>
  </si>
  <si>
    <t>Суточноемониторирование артериального давления (СМАД)</t>
  </si>
  <si>
    <t>Гемодиализ интермитирующий низкопоточный, сеанс лечения</t>
  </si>
  <si>
    <t>Гемодиализ интермитирующий высокопоточный, сеанс лечения</t>
  </si>
  <si>
    <t>СМП по подушевому нормативу</t>
  </si>
  <si>
    <t>Вызов СМП</t>
  </si>
  <si>
    <t>Вызов СМП с применением тромболитической терапии</t>
  </si>
  <si>
    <t>Скорая медицинская помощь (итого)</t>
  </si>
  <si>
    <t>Наименование МО</t>
  </si>
  <si>
    <t>койки сестринского ухода</t>
  </si>
  <si>
    <t xml:space="preserve">Поликлиника </t>
  </si>
  <si>
    <t>ИТОГО - по поликлинике (посещений)</t>
  </si>
  <si>
    <t>психоневрологические</t>
  </si>
  <si>
    <t>Гемодиафильтрация</t>
  </si>
  <si>
    <t>Койко-дни ОМС</t>
  </si>
  <si>
    <t>1.1. Посещение в Центре здоровья, всего</t>
  </si>
  <si>
    <t>1.2. Посещение в связи с диспансерным наблюдением</t>
  </si>
  <si>
    <t>в т.ч. посещения в травмпункте (первичные)</t>
  </si>
  <si>
    <t>СМАД</t>
  </si>
  <si>
    <t>ЧПЭС</t>
  </si>
  <si>
    <t>Эндоскопические методы исследования</t>
  </si>
  <si>
    <t>Электроэнцефалография</t>
  </si>
  <si>
    <t>Программация электрокардиостимулятора</t>
  </si>
  <si>
    <t>Электромиография</t>
  </si>
  <si>
    <t>Отоакустическая эмиссия</t>
  </si>
  <si>
    <t>Автоматические (закрытые системы) биохимические исследования</t>
  </si>
  <si>
    <t>Автоматические (закрытые системы) исследования гемостаза</t>
  </si>
  <si>
    <t>Обследование беременных женщин на маркеры вирусных гепатитов методом ИФА</t>
  </si>
  <si>
    <t>Лечебно-диагностическое эндоскопическое исследование</t>
  </si>
  <si>
    <t>Сцинтиграфия</t>
  </si>
  <si>
    <t>Ортовольтная рентгенотерапия, сеанс лечения</t>
  </si>
  <si>
    <t>Амбулаторная дистанционная лучевая терапия, сеанс лечения</t>
  </si>
  <si>
    <t>ПЭТ/КТ</t>
  </si>
  <si>
    <t xml:space="preserve">ПЭТ/КТ с контрастированием </t>
  </si>
  <si>
    <t>ПЭТ/КТ (совмещенное)</t>
  </si>
  <si>
    <t>Велоэргометрия</t>
  </si>
  <si>
    <t>Иммунологические исследования методом проточнойцитометрии и хемилюминисценции</t>
  </si>
  <si>
    <t>Обзорная рентгенография молочных желез в прямой и косой  проекциях (маммография)</t>
  </si>
  <si>
    <t>Рентгенография (денситометрия)</t>
  </si>
  <si>
    <t>Ультразвуковая эндоскопия</t>
  </si>
  <si>
    <t>Эластография</t>
  </si>
  <si>
    <t>Компьютерная томография с внутривенным контрастированием</t>
  </si>
  <si>
    <t>Ирригоскопия</t>
  </si>
  <si>
    <t xml:space="preserve">Лазерное оперативное лечение </t>
  </si>
  <si>
    <t>Пункционная биопсия щитовидной железы</t>
  </si>
  <si>
    <t>Чрезпищеводная электростимуляция  (ЧПЭС)</t>
  </si>
  <si>
    <t>Объемы медицинской помощи ОМС (случаев госпитализации, посещений)</t>
  </si>
  <si>
    <t xml:space="preserve">2.1. Обращения </t>
  </si>
  <si>
    <t>Полное офтальмологическое диагностическое обследование с ультратонким исследованием</t>
  </si>
  <si>
    <t>Лабораторные исследования</t>
  </si>
  <si>
    <t>Суточное мониторирование артериального давления (СМАД)</t>
  </si>
  <si>
    <t>ПЦР-диагностика (Real time)</t>
  </si>
  <si>
    <t>Обзорная рентгенография молочной желез в прямой и косой проекциях (маммография)</t>
  </si>
  <si>
    <t xml:space="preserve">Лабораторные исследования </t>
  </si>
  <si>
    <t xml:space="preserve">оториноларингологические     </t>
  </si>
  <si>
    <t xml:space="preserve">хирургические    </t>
  </si>
  <si>
    <t xml:space="preserve">    гастроэнтерологические</t>
  </si>
  <si>
    <t>Комплексная медицинская услуга для определения в специализированном кабинете по бесплодному браку показаний к  применению ЭКО (женщины)</t>
  </si>
  <si>
    <t>Комплексная медицинская услуга для определения в специализированном кабинете по бесплодному браку показаний к  применению ЭКО  (мужчины)</t>
  </si>
  <si>
    <t>ИТОГО диализ</t>
  </si>
  <si>
    <t>Исследования:</t>
  </si>
  <si>
    <t>Итого диализ</t>
  </si>
  <si>
    <t>Неполная комплексная медицинская услуга для определения в специализированном КББ показаний к применению ЭКО (Спермограмма)</t>
  </si>
  <si>
    <t>Неполная комплексная медицинская услуга для определения в специализированном КББ показаний к применению ЭКО (Антимюллеровый гормон крови)</t>
  </si>
  <si>
    <t>Перитонеальный диализ с использованием автоматизированных технологий</t>
  </si>
  <si>
    <t>онкологические опухолей головы и шеи</t>
  </si>
  <si>
    <t>онкология</t>
  </si>
  <si>
    <t xml:space="preserve">оториноларингологические  </t>
  </si>
  <si>
    <t>Видеоколоноскопия</t>
  </si>
  <si>
    <t>Автоматические (закрытые системы) биохимического исследования</t>
  </si>
  <si>
    <t>ИФА диагностика</t>
  </si>
  <si>
    <t>Иммунологические исследования методом проточная цитометрия и хемилюминисценция</t>
  </si>
  <si>
    <t xml:space="preserve">   неврологические</t>
  </si>
  <si>
    <t xml:space="preserve">    нейрохирургические</t>
  </si>
  <si>
    <t xml:space="preserve">    онкологические</t>
  </si>
  <si>
    <t xml:space="preserve">    кардиологические</t>
  </si>
  <si>
    <t xml:space="preserve">    неврологические</t>
  </si>
  <si>
    <t xml:space="preserve">    пульмонологические</t>
  </si>
  <si>
    <t xml:space="preserve">    эндокринологические</t>
  </si>
  <si>
    <t xml:space="preserve">   инфекционные</t>
  </si>
  <si>
    <t>Гемодиализ продолжительный</t>
  </si>
  <si>
    <t>Гемофильтрация крови продолжительная</t>
  </si>
  <si>
    <t>Гемодиафильтрация продолжительная</t>
  </si>
  <si>
    <t xml:space="preserve">Приложение №1
</t>
  </si>
  <si>
    <t>УЗИ диагностика</t>
  </si>
  <si>
    <t>Гемодиализ интермитирующий продленный, сеанс лечения</t>
  </si>
  <si>
    <t>Гемодиафильтрация продленная</t>
  </si>
  <si>
    <t xml:space="preserve">Гемофильтрация крови </t>
  </si>
  <si>
    <t>гериатрия</t>
  </si>
  <si>
    <t>1. Посещения с иными целями, всего</t>
  </si>
  <si>
    <r>
      <t>1.5. Посещения с другими целями (</t>
    </r>
    <r>
      <rPr>
        <b/>
        <sz val="11"/>
        <rFont val="Times New Roman"/>
        <family val="1"/>
        <charset val="204"/>
      </rPr>
      <t>патронаж</t>
    </r>
    <r>
      <rPr>
        <sz val="11"/>
        <rFont val="Times New Roman"/>
        <family val="1"/>
        <charset val="204"/>
      </rPr>
      <t>, выдача справок и иных медицинских документов и др.)</t>
    </r>
  </si>
  <si>
    <t xml:space="preserve"> Посещения в связи с диспансеризацией, всего</t>
  </si>
  <si>
    <t>3.1. Диспансеризация взрослого населения 1 этап</t>
  </si>
  <si>
    <t>3.1.(а)  Диспансеризация взрослого населения 1 этапа, проводимая мобильными медицинскими бригадами</t>
  </si>
  <si>
    <t xml:space="preserve">3.2. Диспансеризация детей-сирот, находящихся в стационарных учреждениях </t>
  </si>
  <si>
    <t xml:space="preserve">3.3. Диспансеризация детей-сирот, находящихся в семьях </t>
  </si>
  <si>
    <t xml:space="preserve"> Посещения в связи с профилактическими медицинскими осмотрами, всего</t>
  </si>
  <si>
    <t>3.4. Профилактический медицинский осмотр лиц старше 18 лет</t>
  </si>
  <si>
    <t xml:space="preserve">3.5. Профилактические медицинские осмотры несовершеннолетних, предусмотренные отчетностью на портале МЗ РФ </t>
  </si>
  <si>
    <t xml:space="preserve">3.6. Профилактические медицинские осмотры несовершеннолетних, предусмотренные порядками </t>
  </si>
  <si>
    <t>Всего посещений с иными целями</t>
  </si>
  <si>
    <t>Всего посещений при проведении профилактических мероприятий</t>
  </si>
  <si>
    <t>Всего обращений по поводу заболеваний</t>
  </si>
  <si>
    <t>Всего посещений с связи с оказанием неотложной помощи</t>
  </si>
  <si>
    <t>УЗИ диагностика сердечно-сосудистой системы</t>
  </si>
  <si>
    <t>УЗИ диагностика (доплерография) сердечно-сосудистой системы</t>
  </si>
  <si>
    <t>Магнитно-резонансная томография (МРТ)</t>
  </si>
  <si>
    <t xml:space="preserve"> УЗИ диагностика (доплерография) сердечно-сосудистой системы</t>
  </si>
  <si>
    <t>гнойной хирургии</t>
  </si>
  <si>
    <t>1.5. Посещения с другими целями (патронаж, выдача справок и иных медицинских документов и др.)</t>
  </si>
  <si>
    <t xml:space="preserve">УЗИ диагностика сердечно-сосудистой системы </t>
  </si>
  <si>
    <t>УЗИ диагностика  (доплерография) сердечно-сосудистой системы</t>
  </si>
  <si>
    <t>УЗИ диагностика  сердечно-сосудистой системы</t>
  </si>
  <si>
    <t>Неполная комплексная медицинская услуга для определения в специализированном кабинете по бесплодному браку показаний к  применению ЭКО у мужчин (спермограмма)</t>
  </si>
  <si>
    <t>Неполная комплексная медицинская услуга для определения в специализированном кабинете по бесплодному браку показаний к  применению ЭКО уженщин (антимюллеровый гормон крови)</t>
  </si>
  <si>
    <t>в том числе ВМП</t>
  </si>
  <si>
    <t>Молекулярно-генетическое исследование мутаций в гене EGFR в биопсийном (операционном) материале</t>
  </si>
  <si>
    <t>3. Посещения при проведении профилактических мероприятий (комплексное посещение)</t>
  </si>
  <si>
    <t>МРТ с внутривенным контрастированием</t>
  </si>
  <si>
    <t xml:space="preserve">МРТ с внутривенным контрастированием </t>
  </si>
  <si>
    <t>Прижизненное патолого-анатомическое исследование с применением иммуногистохимических методов</t>
  </si>
  <si>
    <t>1.4. Посещения с иными целями медицинских работников, имеющих среднее медицинское образование, ведущих самостоятельный прием</t>
  </si>
  <si>
    <t>Всего по МО</t>
  </si>
  <si>
    <t xml:space="preserve">Видеоколоноскопия </t>
  </si>
  <si>
    <t>0352001</t>
  </si>
  <si>
    <t>0310001</t>
  </si>
  <si>
    <t>0252002</t>
  </si>
  <si>
    <t>0252001</t>
  </si>
  <si>
    <t>0351001</t>
  </si>
  <si>
    <t>0301001</t>
  </si>
  <si>
    <t>0301003</t>
  </si>
  <si>
    <t>0307003</t>
  </si>
  <si>
    <t>0307002</t>
  </si>
  <si>
    <t>0353001</t>
  </si>
  <si>
    <t>5155001</t>
  </si>
  <si>
    <t>0352005</t>
  </si>
  <si>
    <t>0352006</t>
  </si>
  <si>
    <t>2301165</t>
  </si>
  <si>
    <t>0351002</t>
  </si>
  <si>
    <t>0352002</t>
  </si>
  <si>
    <t>2141002</t>
  </si>
  <si>
    <t>2141010</t>
  </si>
  <si>
    <t>2144011</t>
  </si>
  <si>
    <t>2241001</t>
  </si>
  <si>
    <t>2241009</t>
  </si>
  <si>
    <t>2148001</t>
  </si>
  <si>
    <t>2148002</t>
  </si>
  <si>
    <t>2148004</t>
  </si>
  <si>
    <t>2101003</t>
  </si>
  <si>
    <t>2141005</t>
  </si>
  <si>
    <t>2101006</t>
  </si>
  <si>
    <t>2101007</t>
  </si>
  <si>
    <t>2101008</t>
  </si>
  <si>
    <t>2101011</t>
  </si>
  <si>
    <t>2101015</t>
  </si>
  <si>
    <t>2101016</t>
  </si>
  <si>
    <t>2107018</t>
  </si>
  <si>
    <t>2107019</t>
  </si>
  <si>
    <t>2107802</t>
  </si>
  <si>
    <t>2201001</t>
  </si>
  <si>
    <t>2201003</t>
  </si>
  <si>
    <t>2201017</t>
  </si>
  <si>
    <t>2207022</t>
  </si>
  <si>
    <t>2201024</t>
  </si>
  <si>
    <t>4346001</t>
  </si>
  <si>
    <t>6341001</t>
  </si>
  <si>
    <t>8156001</t>
  </si>
  <si>
    <t>2310001</t>
  </si>
  <si>
    <t>2107803</t>
  </si>
  <si>
    <t>2223001</t>
  </si>
  <si>
    <t>3141002</t>
  </si>
  <si>
    <t>3141003</t>
  </si>
  <si>
    <t>3141004</t>
  </si>
  <si>
    <t>3141007</t>
  </si>
  <si>
    <t>3148002</t>
  </si>
  <si>
    <t>3151001</t>
  </si>
  <si>
    <t>0306001</t>
  </si>
  <si>
    <t>3101009</t>
  </si>
  <si>
    <t>3107001</t>
  </si>
  <si>
    <t>3107002</t>
  </si>
  <si>
    <t>3207001</t>
  </si>
  <si>
    <t>4346004</t>
  </si>
  <si>
    <t>3131001</t>
  </si>
  <si>
    <t>3310001</t>
  </si>
  <si>
    <t>Определение коронавируса COVID-19 в мазках со слизистой оболочки носо- и ротоглотки методом ПЦР</t>
  </si>
  <si>
    <t>3. Посещения при проведении профилактических мероприятий (комплексное посещение) *</t>
  </si>
  <si>
    <t>Рентгенография (подтверждение внебольничной пневмонии) с предоставлением термографической пленки в 2х проекциях</t>
  </si>
  <si>
    <t>Молекулярно-генетическое исследование мутаций в гене BRAF в биопсийном (операционном) материле</t>
  </si>
  <si>
    <t xml:space="preserve">Молекулярно-генетическое исследование мутаций в генах BRCA1 и BRCA2 </t>
  </si>
  <si>
    <t>Молекулярно-генетическое исследование мутаций в гене KRAS в биопсийном (операционном) материле</t>
  </si>
  <si>
    <t xml:space="preserve">Отбор биологического материала для лабораторного исследования на наличие коронавируса COVID-19 со слизистой оболочки носо- и ротоглотки </t>
  </si>
  <si>
    <t>инфекционное</t>
  </si>
  <si>
    <t>Отбор биологического материала для лабораторного исследования на наличие коронавируса COVID-19 со слизистой оболочки носо- и ротоглотки</t>
  </si>
  <si>
    <t>Дистанционное предоставление заключения (описание, интерпретация) по данным выполненного исследования 2 группы (рентгенодиагностика, КТ, МРТ, ПЭТ, радионуклидная диагностика) ВМУ</t>
  </si>
  <si>
    <t xml:space="preserve">3. Посещения при проведении профилактических мероприятий (комплексное посещение) </t>
  </si>
  <si>
    <t>1.6.Диспансеризация взрослого населения 2 этап</t>
  </si>
  <si>
    <t>Поликлиника (по подушевому финансированию  и нормативу финансирования структурного подразделения)</t>
  </si>
  <si>
    <t>4. Посещение в связи с оказанием неотложной помощи в фельдшерском, фельдшерско-акушерском пункте</t>
  </si>
  <si>
    <t>5. Посещение с иными целями, всего</t>
  </si>
  <si>
    <t>5.1. Посещение в Центре здоровья</t>
  </si>
  <si>
    <t>5.3. Разовые посещения в связи с заболеванием в том числе:</t>
  </si>
  <si>
    <t>5.3.1 Разовые посещения</t>
  </si>
  <si>
    <t>5.3.2. Профилактические услуги  в стоматологии (ует)</t>
  </si>
  <si>
    <t>5.3.3. Разовые посещения выполненные мобильными выездными бригадами (выезды в районы края)</t>
  </si>
  <si>
    <t>5.5. Посещения медицинских работников, имеющих среднее медицинское образование</t>
  </si>
  <si>
    <t>6. Обращения по поводу заболевания</t>
  </si>
  <si>
    <t>6.1 Обращения</t>
  </si>
  <si>
    <t>6.2. Обращения по стоматологии</t>
  </si>
  <si>
    <t>7. Посещения в связи с оказанием неотложной помощи</t>
  </si>
  <si>
    <t>8. Посещение врачей  приемных отделений при оказании МП пациентам, не нуждающимся в оказании стационарной помощи</t>
  </si>
  <si>
    <t>5. Посещение с иными целями,   в консультативно-диагностических центрах (отделениях) всего</t>
  </si>
  <si>
    <t>5.5. Посещения с иными целями медицинских работников, имеющих среднее медицинское образование, ведущих самостоятельный прием</t>
  </si>
  <si>
    <t>5.6. Посещения с другими целями (патронаж, выдача справок и иных медицинских документов и др.)</t>
  </si>
  <si>
    <t>6 Обращения в консультативно-диагностических центрах (отделениях)</t>
  </si>
  <si>
    <t>8. Посещение врачей приемных отделений при оказании медицинской помощи пациентам, не нуждающимся в оказании стационарной помощи</t>
  </si>
  <si>
    <t>6. Обращения в консультативно-диагностических центрах (отделениях)</t>
  </si>
  <si>
    <t xml:space="preserve"> 6.2 (а) в т.ч. (УЕТ)</t>
  </si>
  <si>
    <t>8. Посещения в связи с оказанием неотложной помощи</t>
  </si>
  <si>
    <t xml:space="preserve"> 6.2 (в) в т.ч. ортодонтия (УЕТ)</t>
  </si>
  <si>
    <t>6.2 (в) в т.ч. ортодонтия (УЕТ)</t>
  </si>
  <si>
    <t xml:space="preserve">6.1. Обращения </t>
  </si>
  <si>
    <t>5.3.5.Разовые посещения с применением передвижных форм предоставления медицинских услуг на базе водных транспортных средств</t>
  </si>
  <si>
    <t>Итого консультации с применением телемедицинских технологий</t>
  </si>
  <si>
    <t>Патологоанатомические исследования биопсийного (операционного) материала с целью диагностики онкологических заболеваний и подбора противоопухолевой лекарственной терапии)</t>
  </si>
  <si>
    <t>Пункция новообразования молочной железы прицельная пункционная под контролем ультразукового исследования</t>
  </si>
  <si>
    <t>Биопсия (мультифокальная) предстательной железы транректальная пункционная под контролем ультразвукового исследования</t>
  </si>
  <si>
    <t>Биопсия лимфатического узла под контролем ультразвукового исследования</t>
  </si>
  <si>
    <t>Биопсия печени под контролем ультразвукового исследования</t>
  </si>
  <si>
    <t>Трепанбиопсия опухолей наружных локализаций, лимфатических узлов под визуальным контролем</t>
  </si>
  <si>
    <t>ПЦР диагностика (Real time)</t>
  </si>
  <si>
    <t>Дистанционное предоставление заключения (описание, интерпретация) по данным выполненного исследования 2 группы (рентгенодиагностика, КТ, МРТ, ПЭТ, радионуклидная диагностика) (ВМУ)</t>
  </si>
  <si>
    <t>онкологический  (химиотерапевтический)</t>
  </si>
  <si>
    <t>Рентгеноскопия</t>
  </si>
  <si>
    <t>Определение амплификации гена ERBB2 (HER2/Neu) методом флюоресцентной гибридизации  in situ (FISH)</t>
  </si>
  <si>
    <t>Дистанционная консультация  в режиме реального времени (ВМУ)</t>
  </si>
  <si>
    <t>Дистанционная консультация  в режиме отсроченой консультации (ВМУ)</t>
  </si>
  <si>
    <t>Дистанционный консилиум с участием 2-3 специалистов (ВМУ)</t>
  </si>
  <si>
    <t>Дистанционное взаимодействие по вопросам диагностики и лечения новой коронавирусной инфекции COVID-19 (ВМУ)</t>
  </si>
  <si>
    <t>Дистанционное предоставление заключения (описание, интерпретация) по данным выполненного исследования 1 группы (ультразвуковое, эндоскопическое, функциональное) (ВМУ)</t>
  </si>
  <si>
    <t>Дистанционное предоставление заключения (описание, интерпретация) по данным выполненного патологоанатомического исследования (ВМУ)</t>
  </si>
  <si>
    <t>Лабораторные исследования (ВМУ)</t>
  </si>
  <si>
    <t>Скрининговое УЗИ при сроке беременности 19-21 недели по оценке антенатального развития плода</t>
  </si>
  <si>
    <t>Лазерное оперативное лечение</t>
  </si>
  <si>
    <t>Исследование уровня прокальцитонина в крови (ВМУ)</t>
  </si>
  <si>
    <t>Молекулярно-генетическое исследование мутаций в гене NRAS в биопсийном (операционном) материле</t>
  </si>
  <si>
    <t xml:space="preserve"> </t>
  </si>
  <si>
    <t xml:space="preserve">5.8. Углубленная диспансеризация взрослого населения I этап: </t>
  </si>
  <si>
    <t>5.8.1. Комплексное посещение</t>
  </si>
  <si>
    <t>5.9. Углубленная диспансеризация взрослого населения II этап:</t>
  </si>
  <si>
    <t>Неполная комплексная медицинская услуга для определения в специализированном кабинете по бесплодному браку показаний к применению ЭКО у женщиин (молекулярно-биологические исследование по результатам лечения)</t>
  </si>
  <si>
    <t>Выявление антигена SARS-CoV-2 методом ИХА</t>
  </si>
  <si>
    <t>Микробиологическое (культуральное) исследование мокроты на аэробные и факультативно-анаэробные микроорганизмы</t>
  </si>
  <si>
    <t>Микробиологическое (культуральное) исследование мокроты на грибы (дрожжевые и мицелильные)</t>
  </si>
  <si>
    <t>5.7.1 Посещения с другими целями (врача или среднего персонала) при проведении медицинского осмотра перед проведением профилактических прививок против новой короновирусной инфенкции (COVID-19), выполненные в период с 20-00 до 08-00 часов*</t>
  </si>
  <si>
    <t>Объемы медицинской помощи по территориальной программе обязательного медицинского страхования на 2022 год</t>
  </si>
  <si>
    <t>1.5.1  Посещения  с другими целями (врача или среднего персонала) при проведении мед.осмотра перед проведением профилактических прививок против новой коронавирусной инфекции (COVID-19)</t>
  </si>
  <si>
    <t>5.7  Посещения  с другими целями (врача или среднего персонала) при проведении мед.осмотра перед проведением профилактических прививок против новой коронавирусной инфекции (COVID-19)</t>
  </si>
  <si>
    <t>Скрининговое УЗИ при сроке беременности 11-14 недели по оценке антенатального развития плода</t>
  </si>
  <si>
    <t xml:space="preserve">Экспертное УЗИ беременных </t>
  </si>
  <si>
    <t>Молекулярно-генетическое исследование мутаций в генах HER2 FISH</t>
  </si>
  <si>
    <t xml:space="preserve">Определение микросателлитной
нестабильности MSI в биопсийном (операционном) материале </t>
  </si>
  <si>
    <t>Молекулярно-генетическое исследование
гена ALK методом флюоресцентной
гибридизации in situ (FISH)</t>
  </si>
  <si>
    <r>
      <t>Объемы медицинской помощи ОМС (случаев госпитализации, посещений)</t>
    </r>
    <r>
      <rPr>
        <b/>
        <sz val="10"/>
        <rFont val="Times New Roman"/>
        <family val="1"/>
        <charset val="204"/>
      </rPr>
      <t xml:space="preserve"> </t>
    </r>
  </si>
  <si>
    <t>1.3. Разовые посещения в связи с заболеванием</t>
  </si>
  <si>
    <t>Перитонеальный диализ при нарушении ультрафильтрации</t>
  </si>
  <si>
    <t>1</t>
  </si>
  <si>
    <t>эндокриналогическое</t>
  </si>
  <si>
    <t>Перитонеальный диализ проточный</t>
  </si>
  <si>
    <t>6.3. Обращения по реабилитации РК4:</t>
  </si>
  <si>
    <t>Неврология 2 балла по ШРМ</t>
  </si>
  <si>
    <t>Кардиология 2 балла по ШРМ</t>
  </si>
  <si>
    <t>Другие соматические заболевания 2 балла по ШРМ</t>
  </si>
  <si>
    <t>1. КГБУЗ "Краевая клиническая больница № 1" им. проф. С.И. Сергеева МЗХК 0352001, 270005</t>
  </si>
  <si>
    <t>2.КГБУЗ "Краевая клиническая больница" имени профессора О.В. Владимирцева МЗХК 0310001, 270004</t>
  </si>
  <si>
    <t>3. КГБУЗ "Перинатальный центр" имени профессора Г.С.Постола МЗ ХК  0252002, 270007</t>
  </si>
  <si>
    <t>4. КГБУЗ "Детская краевая клиническая больница" имени А.К. Пиотровича МЗХК 0252001, 270148</t>
  </si>
  <si>
    <t>5. КГБУЗ "Краевой клинический центр онкологии" МЗХК 0351001, 270008</t>
  </si>
  <si>
    <t>6.КГБУЗ "Консультативно-диагностический центр "Вивея" министерства здравоохранения Хабаровского края 0301001, 270002</t>
  </si>
  <si>
    <t>7.КГБУЗ "Клинический центр восстановительной медицины и реабилитации" МЗХК 0301003, 270003</t>
  </si>
  <si>
    <t>8. КГБОУ ДПО "ИПКСЗ" МЗХК 0307003, 270014</t>
  </si>
  <si>
    <t>9. КГБУЗ "Стоматологическая поликлиника "Регион" МЗХК 0307002, 270006</t>
  </si>
  <si>
    <t>10. Хабаровский филиал ФГАУ " НМИЦ "МНТК "Микрохирургия глаза" им.акад.С.Н.Федорова МЗ РФ 0353001, 270015</t>
  </si>
  <si>
    <t>1. КГБУЗ "Городская больница № 2" им. Матвеева МЗХК 2141002, 270016</t>
  </si>
  <si>
    <t>2. КГБУЗ "Городская клиническая больница" им.профессора А.M. Войно-Ясенецкого МЗХК 2141010, 270017</t>
  </si>
  <si>
    <t>3. КГБУЗ "Городская клиническая больница" имени профессора Г.Л.Александровича МЗХК 2144011, 270018</t>
  </si>
  <si>
    <t>4. КГБУЗ "Детская городская клиническая больница имени В.М.Истомина" МЗХК 2241001, 270040</t>
  </si>
  <si>
    <t>5. КГБУЗ "Детская городская клиническая больница № 9" МЗХК 2241009, 270041</t>
  </si>
  <si>
    <t>6. КГБУЗ "Родильный дом № 1" МЗХК 2148001, 270032</t>
  </si>
  <si>
    <t>7. КГБУЗ "Родильный дом № 2" МЗХК 2148002, 270033</t>
  </si>
  <si>
    <t>8. КГБУЗ "Родильный дом № 4" МЗХК 2148004, 270034</t>
  </si>
  <si>
    <t>9. КГБУЗ "Городская клиническая поликлиника № 3" МЗХК 2101003, 270019</t>
  </si>
  <si>
    <t>10. КГБУЗ "Городская поликлиника № 5" МЗХК 2141005, 270020</t>
  </si>
  <si>
    <t>11. КГБУЗ "Клинико-диагностический центр" МЗХК 2101006, 270021</t>
  </si>
  <si>
    <t>12. КГБУЗ "Городская поликлиника № 7" МЗХК 2101007, 270022</t>
  </si>
  <si>
    <t>13. КГБУЗ "Городская поликлиника № 8" МЗХК 2101008, 270023</t>
  </si>
  <si>
    <t>14. КГБУЗ "Городская поликлиника № 11" МЗХК 2101011, 270024</t>
  </si>
  <si>
    <t>15. КГБУЗ "Городская поликлиника № 15" МЗХК 2101015, 270025</t>
  </si>
  <si>
    <t xml:space="preserve"> 16. КГБУЗ "Городская поликлиника № 16" МЗХК 2101016, 270026</t>
  </si>
  <si>
    <t>17. КГБУЗ "Стоматологическая поликлиника № 18" МЗХК 2107018, 270027</t>
  </si>
  <si>
    <t>18. КГБУЗ "Стоматологическая поликлиника № 19" МЗХК 2107019, 270028</t>
  </si>
  <si>
    <t>19. КГБУЗ "Стоматологическая поликлиника № 25 "Ден-Тал-Из" МЗХК 2107802,270030</t>
  </si>
  <si>
    <t>20. КГБУЗ "Детская городская  поликлиника № 1" МЗХК 2201001, 270035</t>
  </si>
  <si>
    <t>21. КГБУЗ "Детская городская клиническая поликлиника № 3" МЗХК 2201003, 270036</t>
  </si>
  <si>
    <t xml:space="preserve"> 22. КГБУЗ "Детская городская поликлиника № 17" МЗХК  2201017, 270037</t>
  </si>
  <si>
    <t>23. КГБУЗ "Детская стоматологическая поликлиника № 22" МЗХК 2207022, 270039</t>
  </si>
  <si>
    <t>24. КГБУЗ "Детская городская поликлиника № 24" МЗХК 2201024, 270038</t>
  </si>
  <si>
    <t>1. КГБУЗ "Городская больница" имени М.И. Шевчук МЗХК 3141002, 270050</t>
  </si>
  <si>
    <t>2. КГБУЗ "Городская больница № 3" МЗХК 3141003, 270051</t>
  </si>
  <si>
    <t>3. КГБУЗ "Городская больница" имени А.В Шульмана МЗХК 3141004, 270052</t>
  </si>
  <si>
    <t>4. КГБУЗ "Городская больница № 7" МЗХК 3141007, 270053</t>
  </si>
  <si>
    <t xml:space="preserve"> 5.КГБУЗ "Родильный дом № 3" 3148002, 270054</t>
  </si>
  <si>
    <t>6. КГБУЗ "Онкологический диспансер" МЗХК  3151001, 270058</t>
  </si>
  <si>
    <t>7. КГБУЗ "Детская городская больница" МЗХК 3241001, 270056</t>
  </si>
  <si>
    <t>8. КГБУЗ "Территориальный консультативно-диагностический центр" МЗ ХК 0306001, 270009</t>
  </si>
  <si>
    <t>9. КГБУЗ "Городская поликлиника № 9" МЗХК 3101009, 270047</t>
  </si>
  <si>
    <t>10. КГБУЗ "Стоматологическая поликлиника № 1" МЗХК 3107001, 270048</t>
  </si>
  <si>
    <t>11. КГБУЗ "Стоматологическая поликлиника № 2" МЗХК 3107002, 270049</t>
  </si>
  <si>
    <t>11. ФГКУ "301 Военный клинический госпиталь" Минобороны РФ 5155001, 270044</t>
  </si>
  <si>
    <t>12. ФГБУ "Федеральный центр сердечно-сосудистой хирургии" МЗ РФ (г. Хабаровск) 0352005, 270113</t>
  </si>
  <si>
    <t>13.Хабаровский филиал ФГБНУ ДНЦ ФПД  -НИИОМиД 0352006, 270115</t>
  </si>
  <si>
    <t>14. Компания "Б.Браун Авитум Руссланд" в г.Хабаровске 2301165, 270165</t>
  </si>
  <si>
    <t>15. КГБУЗ "Краевой кожно-венерологический диспансер" МЗХК 0351002,270149</t>
  </si>
  <si>
    <t>16. КГБУЗ "Центр по профилактике и борьбе со СПИД и инфекционными заболеваниями" МЗХК 0352002, 270161</t>
  </si>
  <si>
    <t>25. ЧУЗ "Клиническая больница "РЖД-Медицина" г.Хабаровск 4346001, 270042</t>
  </si>
  <si>
    <t>26. Хабаровская поликлиника ФГБУЗ "Дальневосточный окружной медицинский центр ФМБА" 6341001, 270043</t>
  </si>
  <si>
    <t>27. ФКУЗ "Медико-санитарная часть МВД России по Хабаровскому краю" 8156001, 270123</t>
  </si>
  <si>
    <t>28. КГБУЗ "Хабаровская станция СМП" МЗ ХК 2310001, 270111</t>
  </si>
  <si>
    <t>29.ФБОУ ВО "ДВГМУ" МЗ РФ  2107803, 270108</t>
  </si>
  <si>
    <t>30. КГБУЗ "Детский клинический центр медицинской реабилитации "Амурский" МЗХК 2223001, 270116</t>
  </si>
  <si>
    <t>12. КГАУЗ "Стоматологическая поликлиника № 3" МЗХК , 270232, 3107003</t>
  </si>
  <si>
    <t>13. КГБУЗ "Детская стоматологическая поликлиника  № 1" МЗХК 3207001, 270055</t>
  </si>
  <si>
    <t>14. ЧУЗ "Клиническая больница  "РЖД-Медицина" г. Комсомольск-на-Амуре 4346004, 270057</t>
  </si>
  <si>
    <t>15. ФГБУЗ "Медико-санитарная часть № 99 ФМБА" 3131001, 270060</t>
  </si>
  <si>
    <t>17. КГБУЗ "Станция скорой медицинской помощи г. Комсомольска-на-Амуре" МЗХК 3310001, 270132</t>
  </si>
  <si>
    <t>16. Компания "Б.Браун Авитум Руссланд" в г.Комсомольск-на-Амуре  2301165, 270165</t>
  </si>
  <si>
    <t>к Решению Комиссии   по разработке ТП ОМС от 27.06.2022 № 6</t>
  </si>
  <si>
    <t>к Решению Комиссии   по разработке
 ТП ОМС от 27.06.2022 №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</si>
</sst>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164" formatCode="_-* #,##0_р_._-;\-* #,##0_р_._-;_-* &quot;-&quot;_р_._-;_-@_-"/>
    <numFmt numFmtId="165" formatCode="_-* #,##0.00_р_._-;\-* #,##0.00_р_._-;_-* &quot;-&quot;??_р_._-;_-@_-"/>
    <numFmt numFmtId="166" formatCode="_-* #,##0.0_р_._-;\-* #,##0.0_р_._-;_-* &quot;-&quot;?_р_._-;_-@_-"/>
    <numFmt numFmtId="167" formatCode="#,##0.0_ ;\-#,##0.0\ "/>
    <numFmt numFmtId="168" formatCode="_-* #,##0_р_._-;\-* #,##0_р_._-;_-* &quot;-&quot;??_р_._-;_-@_-"/>
    <numFmt numFmtId="169" formatCode="_-* #,##0.0_р_._-;\-* #,##0.0_р_._-;_-* &quot;-&quot;_р_._-;_-@_-"/>
    <numFmt numFmtId="170" formatCode="#,##0_ ;\-#,##0\ "/>
    <numFmt numFmtId="171" formatCode="_-* #,##0.0_р_._-;\-* #,##0.0_р_._-;_-* &quot;-&quot;??_р_._-;_-@_-"/>
    <numFmt numFmtId="172" formatCode="_-* #,##0\ _р_._-;\-* #,##0\ _р_._-;_-* &quot;-&quot;\ _р_._-;_-@_-"/>
    <numFmt numFmtId="173" formatCode="0.0"/>
    <numFmt numFmtId="174" formatCode="#,##0.0"/>
    <numFmt numFmtId="175" formatCode="_-* #,##0.00000_р_._-;\-* #,##0.00000_р_._-;_-* &quot;-&quot;_р_._-;_-@_-"/>
    <numFmt numFmtId="176" formatCode="_-* #,##0.00_р_._-;\-* #,##0.00_р_._-;_-* &quot;-&quot;_р_._-;_-@_-"/>
  </numFmts>
  <fonts count="39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Arial Cyr"/>
      <charset val="204"/>
    </font>
    <font>
      <sz val="12"/>
      <name val="Times New Roman"/>
      <family val="1"/>
      <charset val="204"/>
    </font>
    <font>
      <sz val="12"/>
      <name val="Times New Roman Cyr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 Cyr"/>
      <charset val="204"/>
    </font>
    <font>
      <i/>
      <sz val="11"/>
      <name val="Times New Roman"/>
      <family val="1"/>
      <charset val="204"/>
    </font>
    <font>
      <i/>
      <sz val="11"/>
      <name val="Times New Roman"/>
      <family val="1"/>
    </font>
    <font>
      <b/>
      <sz val="11"/>
      <name val="Times New Roman"/>
      <family val="1"/>
    </font>
    <font>
      <sz val="11"/>
      <name val="Times New Roman"/>
      <family val="1"/>
    </font>
    <font>
      <sz val="11"/>
      <name val="Times New Roman Cyr"/>
      <family val="1"/>
      <charset val="204"/>
    </font>
    <font>
      <b/>
      <sz val="11"/>
      <name val="Times New Roman Cyr"/>
      <family val="1"/>
      <charset val="204"/>
    </font>
    <font>
      <i/>
      <sz val="11"/>
      <name val="Times New Roman Cyr"/>
      <family val="1"/>
      <charset val="204"/>
    </font>
    <font>
      <b/>
      <sz val="11"/>
      <name val="Times New Roman Cyr"/>
      <charset val="204"/>
    </font>
    <font>
      <b/>
      <i/>
      <sz val="11"/>
      <name val="Times New Roman"/>
      <family val="1"/>
      <charset val="204"/>
    </font>
    <font>
      <b/>
      <sz val="12"/>
      <name val="Times New Roman Cyr"/>
      <family val="1"/>
      <charset val="204"/>
    </font>
    <font>
      <sz val="14"/>
      <name val="Times New Roman Cyr"/>
      <family val="1"/>
      <charset val="204"/>
    </font>
    <font>
      <sz val="11"/>
      <name val="Times New Roman Cyr"/>
      <charset val="204"/>
    </font>
    <font>
      <i/>
      <sz val="12"/>
      <name val="Times New Roman Cyr"/>
      <charset val="204"/>
    </font>
    <font>
      <i/>
      <sz val="11"/>
      <name val="Times New Roman Cyr"/>
      <charset val="204"/>
    </font>
    <font>
      <b/>
      <i/>
      <sz val="11"/>
      <name val="Times New Roman Cyr"/>
      <charset val="204"/>
    </font>
    <font>
      <b/>
      <i/>
      <sz val="11"/>
      <name val="Times New Roman Cyr"/>
      <family val="1"/>
      <charset val="204"/>
    </font>
    <font>
      <b/>
      <i/>
      <sz val="11"/>
      <name val="Times New Roman"/>
      <family val="1"/>
    </font>
    <font>
      <b/>
      <u/>
      <sz val="11"/>
      <name val="Times New Roman Cyr"/>
      <family val="1"/>
      <charset val="204"/>
    </font>
    <font>
      <i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i/>
      <sz val="12"/>
      <name val="Times New Roman Cyr"/>
      <charset val="204"/>
    </font>
    <font>
      <b/>
      <i/>
      <sz val="12"/>
      <name val="Times New Roman"/>
      <family val="1"/>
      <charset val="204"/>
    </font>
    <font>
      <b/>
      <i/>
      <sz val="12"/>
      <name val="Times New Roman"/>
      <family val="1"/>
    </font>
    <font>
      <b/>
      <i/>
      <sz val="12"/>
      <name val="Times New Roman Cyr"/>
      <family val="1"/>
      <charset val="204"/>
    </font>
    <font>
      <i/>
      <sz val="12"/>
      <name val="Times New Roman Cyr"/>
      <family val="1"/>
      <charset val="204"/>
    </font>
    <font>
      <sz val="10"/>
      <name val="Arial Cyr"/>
      <family val="2"/>
      <charset val="204"/>
    </font>
    <font>
      <sz val="13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CC"/>
      </patternFill>
    </fill>
  </fills>
  <borders count="6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/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</borders>
  <cellStyleXfs count="44">
    <xf numFmtId="0" fontId="0" fillId="0" borderId="0"/>
    <xf numFmtId="165" fontId="10" fillId="0" borderId="0" applyFont="0" applyFill="0" applyBorder="0" applyAlignment="0" applyProtection="0"/>
    <xf numFmtId="0" fontId="3" fillId="0" borderId="0"/>
    <xf numFmtId="170" fontId="3" fillId="0" borderId="0" applyFont="0" applyFill="0" applyBorder="0" applyAlignment="0" applyProtection="0"/>
    <xf numFmtId="0" fontId="10" fillId="0" borderId="0"/>
    <xf numFmtId="165" fontId="10" fillId="0" borderId="0" applyFont="0" applyFill="0" applyBorder="0" applyAlignment="0" applyProtection="0"/>
    <xf numFmtId="167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4" fillId="0" borderId="0" applyFill="0" applyBorder="0" applyProtection="0">
      <alignment wrapText="1"/>
      <protection locked="0"/>
    </xf>
    <xf numFmtId="9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0" fontId="37" fillId="0" borderId="0"/>
    <xf numFmtId="0" fontId="10" fillId="0" borderId="0"/>
    <xf numFmtId="0" fontId="10" fillId="0" borderId="0"/>
    <xf numFmtId="0" fontId="10" fillId="0" borderId="0"/>
    <xf numFmtId="0" fontId="2" fillId="0" borderId="0"/>
    <xf numFmtId="0" fontId="2" fillId="0" borderId="0"/>
    <xf numFmtId="0" fontId="1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2" borderId="38" applyNumberFormat="0" applyFont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1" fillId="0" borderId="0"/>
    <xf numFmtId="0" fontId="10" fillId="0" borderId="0"/>
  </cellStyleXfs>
  <cellXfs count="717">
    <xf numFmtId="0" fontId="0" fillId="0" borderId="0" xfId="0"/>
    <xf numFmtId="0" fontId="7" fillId="0" borderId="8" xfId="2" applyFont="1" applyFill="1" applyBorder="1" applyAlignment="1">
      <alignment horizontal="left" wrapText="1" indent="1"/>
    </xf>
    <xf numFmtId="164" fontId="7" fillId="0" borderId="13" xfId="1" applyNumberFormat="1" applyFont="1" applyFill="1" applyBorder="1"/>
    <xf numFmtId="0" fontId="5" fillId="0" borderId="0" xfId="2" applyFont="1" applyFill="1"/>
    <xf numFmtId="0" fontId="21" fillId="0" borderId="1" xfId="2" applyFont="1" applyFill="1" applyBorder="1" applyAlignment="1">
      <alignment horizontal="center"/>
    </xf>
    <xf numFmtId="0" fontId="21" fillId="0" borderId="5" xfId="2" applyFont="1" applyFill="1" applyBorder="1" applyAlignment="1">
      <alignment horizontal="center"/>
    </xf>
    <xf numFmtId="0" fontId="5" fillId="0" borderId="6" xfId="2" applyFont="1" applyFill="1" applyBorder="1" applyAlignment="1">
      <alignment horizontal="center" vertical="top"/>
    </xf>
    <xf numFmtId="0" fontId="15" fillId="0" borderId="4" xfId="2" applyFont="1" applyFill="1" applyBorder="1" applyAlignment="1">
      <alignment horizontal="center" vertical="top"/>
    </xf>
    <xf numFmtId="0" fontId="7" fillId="0" borderId="4" xfId="2" applyFont="1" applyFill="1" applyBorder="1" applyAlignment="1">
      <alignment horizontal="center" vertical="center" wrapText="1"/>
    </xf>
    <xf numFmtId="0" fontId="15" fillId="0" borderId="5" xfId="2" applyFont="1" applyFill="1" applyBorder="1" applyAlignment="1">
      <alignment horizontal="center"/>
    </xf>
    <xf numFmtId="168" fontId="7" fillId="0" borderId="13" xfId="1" applyNumberFormat="1" applyFont="1" applyFill="1" applyBorder="1"/>
    <xf numFmtId="168" fontId="9" fillId="0" borderId="13" xfId="1" applyNumberFormat="1" applyFont="1" applyFill="1" applyBorder="1"/>
    <xf numFmtId="0" fontId="11" fillId="0" borderId="8" xfId="0" applyFont="1" applyFill="1" applyBorder="1" applyAlignment="1">
      <alignment horizontal="left" indent="1"/>
    </xf>
    <xf numFmtId="164" fontId="9" fillId="0" borderId="8" xfId="2" applyNumberFormat="1" applyFont="1" applyFill="1" applyBorder="1" applyAlignment="1">
      <alignment horizontal="right"/>
    </xf>
    <xf numFmtId="0" fontId="9" fillId="0" borderId="8" xfId="0" applyFont="1" applyFill="1" applyBorder="1" applyAlignment="1">
      <alignment horizontal="left" wrapText="1" indent="2"/>
    </xf>
    <xf numFmtId="0" fontId="7" fillId="0" borderId="8" xfId="0" applyFont="1" applyFill="1" applyBorder="1" applyAlignment="1">
      <alignment horizontal="left" wrapText="1" indent="2"/>
    </xf>
    <xf numFmtId="0" fontId="11" fillId="0" borderId="8" xfId="0" applyFont="1" applyFill="1" applyBorder="1" applyAlignment="1">
      <alignment horizontal="left" wrapText="1" indent="2"/>
    </xf>
    <xf numFmtId="164" fontId="7" fillId="0" borderId="8" xfId="2" applyNumberFormat="1" applyFont="1" applyFill="1" applyBorder="1" applyAlignment="1">
      <alignment horizontal="right"/>
    </xf>
    <xf numFmtId="0" fontId="7" fillId="0" borderId="8" xfId="0" applyFont="1" applyFill="1" applyBorder="1" applyAlignment="1">
      <alignment horizontal="left" vertical="top" wrapText="1" indent="2"/>
    </xf>
    <xf numFmtId="0" fontId="7" fillId="0" borderId="8" xfId="2" applyFont="1" applyFill="1" applyBorder="1" applyAlignment="1">
      <alignment horizontal="left" wrapText="1" indent="3"/>
    </xf>
    <xf numFmtId="0" fontId="19" fillId="0" borderId="8" xfId="2" applyFont="1" applyFill="1" applyBorder="1" applyAlignment="1">
      <alignment horizontal="left" wrapText="1" indent="3"/>
    </xf>
    <xf numFmtId="0" fontId="9" fillId="0" borderId="8" xfId="2" applyFont="1" applyFill="1" applyBorder="1" applyAlignment="1">
      <alignment horizontal="left" wrapText="1" indent="1"/>
    </xf>
    <xf numFmtId="0" fontId="9" fillId="0" borderId="11" xfId="2" applyFont="1" applyFill="1" applyBorder="1" applyAlignment="1">
      <alignment horizontal="left" indent="1"/>
    </xf>
    <xf numFmtId="0" fontId="33" fillId="0" borderId="8" xfId="2" applyFont="1" applyFill="1" applyBorder="1" applyAlignment="1">
      <alignment horizontal="left" wrapText="1" indent="1"/>
    </xf>
    <xf numFmtId="164" fontId="22" fillId="0" borderId="8" xfId="2" applyNumberFormat="1" applyFont="1" applyFill="1" applyBorder="1"/>
    <xf numFmtId="0" fontId="15" fillId="0" borderId="9" xfId="0" applyFont="1" applyFill="1" applyBorder="1" applyAlignment="1">
      <alignment horizontal="left" wrapText="1" indent="2"/>
    </xf>
    <xf numFmtId="0" fontId="9" fillId="0" borderId="9" xfId="2" applyFont="1" applyFill="1" applyBorder="1" applyAlignment="1">
      <alignment wrapText="1"/>
    </xf>
    <xf numFmtId="0" fontId="23" fillId="0" borderId="8" xfId="2" applyFont="1" applyFill="1" applyBorder="1" applyAlignment="1">
      <alignment horizontal="left" vertical="justify" indent="2"/>
    </xf>
    <xf numFmtId="168" fontId="9" fillId="0" borderId="8" xfId="1" applyNumberFormat="1" applyFont="1" applyFill="1" applyBorder="1"/>
    <xf numFmtId="164" fontId="9" fillId="0" borderId="13" xfId="1" applyNumberFormat="1" applyFont="1" applyFill="1" applyBorder="1"/>
    <xf numFmtId="0" fontId="19" fillId="0" borderId="8" xfId="2" applyFont="1" applyFill="1" applyBorder="1" applyAlignment="1">
      <alignment horizontal="left" wrapText="1" indent="1"/>
    </xf>
    <xf numFmtId="164" fontId="19" fillId="0" borderId="13" xfId="1" applyNumberFormat="1" applyFont="1" applyFill="1" applyBorder="1"/>
    <xf numFmtId="0" fontId="15" fillId="0" borderId="8" xfId="2" applyFont="1" applyFill="1" applyBorder="1" applyAlignment="1">
      <alignment horizontal="left" wrapText="1" indent="2"/>
    </xf>
    <xf numFmtId="0" fontId="19" fillId="0" borderId="8" xfId="0" applyFont="1" applyFill="1" applyBorder="1" applyAlignment="1">
      <alignment horizontal="left" indent="1"/>
    </xf>
    <xf numFmtId="168" fontId="19" fillId="0" borderId="8" xfId="1" applyNumberFormat="1" applyFont="1" applyFill="1" applyBorder="1"/>
    <xf numFmtId="0" fontId="15" fillId="0" borderId="8" xfId="0" applyFont="1" applyFill="1" applyBorder="1" applyAlignment="1">
      <alignment horizontal="left" wrapText="1" indent="2"/>
    </xf>
    <xf numFmtId="167" fontId="19" fillId="0" borderId="13" xfId="1" applyNumberFormat="1" applyFont="1" applyFill="1" applyBorder="1" applyAlignment="1">
      <alignment horizontal="center"/>
    </xf>
    <xf numFmtId="168" fontId="9" fillId="0" borderId="9" xfId="1" applyNumberFormat="1" applyFont="1" applyFill="1" applyBorder="1"/>
    <xf numFmtId="168" fontId="18" fillId="0" borderId="8" xfId="1" applyNumberFormat="1" applyFont="1" applyFill="1" applyBorder="1" applyAlignment="1">
      <alignment horizontal="center"/>
    </xf>
    <xf numFmtId="168" fontId="15" fillId="0" borderId="8" xfId="1" applyNumberFormat="1" applyFont="1" applyFill="1" applyBorder="1" applyAlignment="1">
      <alignment horizontal="center"/>
    </xf>
    <xf numFmtId="0" fontId="12" fillId="0" borderId="8" xfId="2" applyFont="1" applyFill="1" applyBorder="1" applyAlignment="1">
      <alignment horizontal="left" wrapText="1" indent="1"/>
    </xf>
    <xf numFmtId="164" fontId="9" fillId="0" borderId="13" xfId="2" applyNumberFormat="1" applyFont="1" applyFill="1" applyBorder="1" applyAlignment="1">
      <alignment horizontal="right"/>
    </xf>
    <xf numFmtId="0" fontId="7" fillId="0" borderId="8" xfId="2" applyFont="1" applyFill="1" applyBorder="1" applyAlignment="1">
      <alignment horizontal="right" wrapText="1" indent="3"/>
    </xf>
    <xf numFmtId="164" fontId="9" fillId="0" borderId="8" xfId="1" applyNumberFormat="1" applyFont="1" applyFill="1" applyBorder="1"/>
    <xf numFmtId="0" fontId="19" fillId="0" borderId="19" xfId="2" applyFont="1" applyFill="1" applyBorder="1" applyAlignment="1">
      <alignment horizontal="left" wrapText="1" indent="1"/>
    </xf>
    <xf numFmtId="168" fontId="7" fillId="0" borderId="8" xfId="1" applyNumberFormat="1" applyFont="1" applyFill="1" applyBorder="1"/>
    <xf numFmtId="0" fontId="7" fillId="0" borderId="8" xfId="2" applyFont="1" applyFill="1" applyBorder="1" applyAlignment="1">
      <alignment horizontal="left" indent="2"/>
    </xf>
    <xf numFmtId="166" fontId="7" fillId="0" borderId="8" xfId="2" applyNumberFormat="1" applyFont="1" applyFill="1" applyBorder="1"/>
    <xf numFmtId="0" fontId="9" fillId="0" borderId="9" xfId="2" applyFont="1" applyFill="1" applyBorder="1" applyAlignment="1">
      <alignment horizontal="left" wrapText="1" indent="1"/>
    </xf>
    <xf numFmtId="0" fontId="18" fillId="0" borderId="11" xfId="2" applyFont="1" applyFill="1" applyBorder="1" applyAlignment="1">
      <alignment horizontal="left" wrapText="1" indent="2"/>
    </xf>
    <xf numFmtId="0" fontId="4" fillId="0" borderId="0" xfId="2" applyFont="1" applyFill="1"/>
    <xf numFmtId="0" fontId="7" fillId="0" borderId="0" xfId="2" applyFont="1" applyFill="1" applyBorder="1"/>
    <xf numFmtId="168" fontId="7" fillId="0" borderId="0" xfId="1" applyNumberFormat="1" applyFont="1" applyFill="1" applyBorder="1"/>
    <xf numFmtId="0" fontId="9" fillId="0" borderId="0" xfId="2" applyFont="1" applyFill="1" applyBorder="1"/>
    <xf numFmtId="164" fontId="7" fillId="0" borderId="8" xfId="2" applyNumberFormat="1" applyFont="1" applyFill="1" applyBorder="1"/>
    <xf numFmtId="164" fontId="7" fillId="0" borderId="27" xfId="1" applyNumberFormat="1" applyFont="1" applyFill="1" applyBorder="1"/>
    <xf numFmtId="166" fontId="7" fillId="0" borderId="13" xfId="2" applyNumberFormat="1" applyFont="1" applyFill="1" applyBorder="1"/>
    <xf numFmtId="168" fontId="7" fillId="0" borderId="8" xfId="1" applyNumberFormat="1" applyFont="1" applyFill="1" applyBorder="1" applyAlignment="1">
      <alignment horizontal="center"/>
    </xf>
    <xf numFmtId="0" fontId="9" fillId="0" borderId="0" xfId="2" applyFont="1" applyFill="1"/>
    <xf numFmtId="168" fontId="7" fillId="0" borderId="22" xfId="1" applyNumberFormat="1" applyFont="1" applyFill="1" applyBorder="1" applyAlignment="1">
      <alignment horizontal="right"/>
    </xf>
    <xf numFmtId="0" fontId="9" fillId="0" borderId="8" xfId="2" applyFont="1" applyFill="1" applyBorder="1" applyAlignment="1">
      <alignment horizontal="left" wrapText="1" indent="3"/>
    </xf>
    <xf numFmtId="0" fontId="6" fillId="0" borderId="8" xfId="0" applyFont="1" applyFill="1" applyBorder="1" applyAlignment="1">
      <alignment horizontal="left" wrapText="1" indent="2"/>
    </xf>
    <xf numFmtId="168" fontId="9" fillId="0" borderId="8" xfId="1" applyNumberFormat="1" applyFont="1" applyFill="1" applyBorder="1" applyAlignment="1">
      <alignment horizontal="center"/>
    </xf>
    <xf numFmtId="168" fontId="7" fillId="0" borderId="22" xfId="1" applyNumberFormat="1" applyFont="1" applyFill="1" applyBorder="1" applyAlignment="1">
      <alignment horizontal="center"/>
    </xf>
    <xf numFmtId="168" fontId="11" fillId="0" borderId="8" xfId="1" applyNumberFormat="1" applyFont="1" applyFill="1" applyBorder="1" applyAlignment="1">
      <alignment horizontal="center"/>
    </xf>
    <xf numFmtId="168" fontId="7" fillId="0" borderId="8" xfId="1" applyNumberFormat="1" applyFont="1" applyFill="1" applyBorder="1" applyAlignment="1">
      <alignment horizontal="right"/>
    </xf>
    <xf numFmtId="0" fontId="9" fillId="0" borderId="8" xfId="0" applyFont="1" applyFill="1" applyBorder="1" applyAlignment="1">
      <alignment horizontal="left" vertical="top" wrapText="1" indent="2"/>
    </xf>
    <xf numFmtId="0" fontId="9" fillId="0" borderId="19" xfId="2" applyFont="1" applyFill="1" applyBorder="1" applyAlignment="1">
      <alignment horizontal="left" wrapText="1" indent="1"/>
    </xf>
    <xf numFmtId="164" fontId="9" fillId="0" borderId="8" xfId="2" applyNumberFormat="1" applyFont="1" applyFill="1" applyBorder="1"/>
    <xf numFmtId="0" fontId="7" fillId="0" borderId="5" xfId="2" applyFont="1" applyFill="1" applyBorder="1"/>
    <xf numFmtId="0" fontId="9" fillId="0" borderId="8" xfId="2" applyFont="1" applyFill="1" applyBorder="1" applyAlignment="1">
      <alignment wrapText="1"/>
    </xf>
    <xf numFmtId="0" fontId="7" fillId="0" borderId="8" xfId="2" applyFont="1" applyFill="1" applyBorder="1"/>
    <xf numFmtId="0" fontId="23" fillId="0" borderId="19" xfId="2" applyFont="1" applyFill="1" applyBorder="1" applyAlignment="1">
      <alignment horizontal="left" vertical="justify" indent="2"/>
    </xf>
    <xf numFmtId="0" fontId="11" fillId="0" borderId="19" xfId="0" applyFont="1" applyFill="1" applyBorder="1" applyAlignment="1">
      <alignment horizontal="left" indent="1"/>
    </xf>
    <xf numFmtId="0" fontId="7" fillId="0" borderId="19" xfId="2" applyFont="1" applyFill="1" applyBorder="1" applyAlignment="1">
      <alignment horizontal="left" wrapText="1" indent="3"/>
    </xf>
    <xf numFmtId="168" fontId="7" fillId="0" borderId="27" xfId="1" applyNumberFormat="1" applyFont="1" applyFill="1" applyBorder="1" applyAlignment="1">
      <alignment horizontal="center"/>
    </xf>
    <xf numFmtId="164" fontId="11" fillId="0" borderId="8" xfId="2" applyNumberFormat="1" applyFont="1" applyFill="1" applyBorder="1"/>
    <xf numFmtId="164" fontId="19" fillId="0" borderId="8" xfId="2" applyNumberFormat="1" applyFont="1" applyFill="1" applyBorder="1"/>
    <xf numFmtId="168" fontId="7" fillId="0" borderId="13" xfId="1" applyNumberFormat="1" applyFont="1" applyFill="1" applyBorder="1" applyAlignment="1">
      <alignment horizontal="center"/>
    </xf>
    <xf numFmtId="164" fontId="9" fillId="0" borderId="0" xfId="2" applyNumberFormat="1" applyFont="1" applyFill="1" applyBorder="1"/>
    <xf numFmtId="164" fontId="7" fillId="0" borderId="9" xfId="2" applyNumberFormat="1" applyFont="1" applyFill="1" applyBorder="1"/>
    <xf numFmtId="164" fontId="9" fillId="0" borderId="22" xfId="1" applyNumberFormat="1" applyFont="1" applyFill="1" applyBorder="1"/>
    <xf numFmtId="166" fontId="9" fillId="0" borderId="8" xfId="2" applyNumberFormat="1" applyFont="1" applyFill="1" applyBorder="1"/>
    <xf numFmtId="168" fontId="16" fillId="0" borderId="8" xfId="1" applyNumberFormat="1" applyFont="1" applyFill="1" applyBorder="1" applyAlignment="1">
      <alignment horizontal="center"/>
    </xf>
    <xf numFmtId="168" fontId="9" fillId="0" borderId="8" xfId="1" applyNumberFormat="1" applyFont="1" applyFill="1" applyBorder="1" applyAlignment="1">
      <alignment horizontal="right"/>
    </xf>
    <xf numFmtId="168" fontId="19" fillId="0" borderId="8" xfId="1" applyNumberFormat="1" applyFont="1" applyFill="1" applyBorder="1" applyAlignment="1">
      <alignment horizontal="center"/>
    </xf>
    <xf numFmtId="164" fontId="9" fillId="0" borderId="9" xfId="2" applyNumberFormat="1" applyFont="1" applyFill="1" applyBorder="1"/>
    <xf numFmtId="0" fontId="7" fillId="0" borderId="19" xfId="0" applyFont="1" applyFill="1" applyBorder="1" applyAlignment="1">
      <alignment horizontal="left" vertical="top" wrapText="1" indent="2"/>
    </xf>
    <xf numFmtId="0" fontId="7" fillId="0" borderId="19" xfId="0" applyFont="1" applyFill="1" applyBorder="1" applyAlignment="1">
      <alignment horizontal="left" wrapText="1" indent="2"/>
    </xf>
    <xf numFmtId="0" fontId="7" fillId="0" borderId="0" xfId="2" applyFont="1" applyFill="1"/>
    <xf numFmtId="0" fontId="9" fillId="0" borderId="20" xfId="2" applyFont="1" applyFill="1" applyBorder="1" applyAlignment="1">
      <alignment horizontal="left" indent="1"/>
    </xf>
    <xf numFmtId="0" fontId="7" fillId="0" borderId="8" xfId="2" applyFont="1" applyFill="1" applyBorder="1" applyAlignment="1">
      <alignment horizontal="left" wrapText="1" indent="2"/>
    </xf>
    <xf numFmtId="0" fontId="13" fillId="0" borderId="8" xfId="2" applyFont="1" applyFill="1" applyBorder="1" applyAlignment="1">
      <alignment horizontal="left" wrapText="1" indent="1"/>
    </xf>
    <xf numFmtId="170" fontId="13" fillId="0" borderId="22" xfId="1" applyNumberFormat="1" applyFont="1" applyFill="1" applyBorder="1" applyAlignment="1">
      <alignment horizontal="center"/>
    </xf>
    <xf numFmtId="168" fontId="9" fillId="0" borderId="13" xfId="1" applyNumberFormat="1" applyFont="1" applyFill="1" applyBorder="1" applyAlignment="1">
      <alignment horizontal="center"/>
    </xf>
    <xf numFmtId="164" fontId="7" fillId="0" borderId="9" xfId="1" applyNumberFormat="1" applyFont="1" applyFill="1" applyBorder="1"/>
    <xf numFmtId="0" fontId="7" fillId="0" borderId="8" xfId="2" applyFont="1" applyFill="1" applyBorder="1" applyAlignment="1">
      <alignment horizontal="center"/>
    </xf>
    <xf numFmtId="171" fontId="19" fillId="0" borderId="8" xfId="1" applyNumberFormat="1" applyFont="1" applyFill="1" applyBorder="1"/>
    <xf numFmtId="168" fontId="19" fillId="0" borderId="8" xfId="2" applyNumberFormat="1" applyFont="1" applyFill="1" applyBorder="1" applyAlignment="1">
      <alignment horizontal="center"/>
    </xf>
    <xf numFmtId="0" fontId="19" fillId="0" borderId="8" xfId="2" applyFont="1" applyFill="1" applyBorder="1" applyAlignment="1">
      <alignment horizontal="center"/>
    </xf>
    <xf numFmtId="173" fontId="19" fillId="0" borderId="8" xfId="2" applyNumberFormat="1" applyFont="1" applyFill="1" applyBorder="1" applyAlignment="1">
      <alignment horizontal="center"/>
    </xf>
    <xf numFmtId="0" fontId="11" fillId="0" borderId="8" xfId="0" applyFont="1" applyFill="1" applyBorder="1" applyAlignment="1">
      <alignment horizontal="left" wrapText="1" indent="1"/>
    </xf>
    <xf numFmtId="0" fontId="9" fillId="0" borderId="9" xfId="2" applyFont="1" applyFill="1" applyBorder="1" applyAlignment="1">
      <alignment horizontal="center" wrapText="1"/>
    </xf>
    <xf numFmtId="3" fontId="7" fillId="0" borderId="13" xfId="1" applyNumberFormat="1" applyFont="1" applyFill="1" applyBorder="1"/>
    <xf numFmtId="0" fontId="15" fillId="0" borderId="0" xfId="2" applyFont="1" applyFill="1"/>
    <xf numFmtId="0" fontId="15" fillId="0" borderId="0" xfId="2" applyFont="1" applyFill="1" applyBorder="1" applyAlignment="1">
      <alignment wrapText="1"/>
    </xf>
    <xf numFmtId="0" fontId="15" fillId="0" borderId="0" xfId="2" applyFont="1" applyFill="1" applyAlignment="1">
      <alignment horizontal="center"/>
    </xf>
    <xf numFmtId="3" fontId="7" fillId="0" borderId="4" xfId="2" applyNumberFormat="1" applyFont="1" applyFill="1" applyBorder="1" applyAlignment="1">
      <alignment horizontal="center" vertical="center" wrapText="1"/>
    </xf>
    <xf numFmtId="1" fontId="7" fillId="0" borderId="4" xfId="2" applyNumberFormat="1" applyFont="1" applyFill="1" applyBorder="1" applyAlignment="1">
      <alignment horizontal="center"/>
    </xf>
    <xf numFmtId="49" fontId="7" fillId="0" borderId="49" xfId="0" applyNumberFormat="1" applyFont="1" applyFill="1" applyBorder="1" applyAlignment="1">
      <alignment horizontal="right"/>
    </xf>
    <xf numFmtId="3" fontId="15" fillId="0" borderId="21" xfId="2" applyNumberFormat="1" applyFont="1" applyFill="1" applyBorder="1" applyAlignment="1">
      <alignment horizontal="center"/>
    </xf>
    <xf numFmtId="168" fontId="14" fillId="0" borderId="21" xfId="1" applyNumberFormat="1" applyFont="1" applyFill="1" applyBorder="1"/>
    <xf numFmtId="0" fontId="17" fillId="0" borderId="8" xfId="2" applyFont="1" applyFill="1" applyBorder="1" applyAlignment="1">
      <alignment horizontal="left" indent="1"/>
    </xf>
    <xf numFmtId="0" fontId="15" fillId="0" borderId="8" xfId="2" applyFont="1" applyFill="1" applyBorder="1" applyAlignment="1">
      <alignment horizontal="center"/>
    </xf>
    <xf numFmtId="0" fontId="15" fillId="0" borderId="19" xfId="2" applyFont="1" applyFill="1" applyBorder="1" applyAlignment="1">
      <alignment horizontal="left" indent="2"/>
    </xf>
    <xf numFmtId="164" fontId="15" fillId="0" borderId="8" xfId="2" applyNumberFormat="1" applyFont="1" applyFill="1" applyBorder="1"/>
    <xf numFmtId="169" fontId="15" fillId="0" borderId="8" xfId="2" applyNumberFormat="1" applyFont="1" applyFill="1" applyBorder="1"/>
    <xf numFmtId="0" fontId="15" fillId="0" borderId="8" xfId="2" applyFont="1" applyFill="1" applyBorder="1" applyAlignment="1">
      <alignment horizontal="left" indent="2"/>
    </xf>
    <xf numFmtId="3" fontId="15" fillId="0" borderId="0" xfId="2" applyNumberFormat="1" applyFont="1" applyFill="1"/>
    <xf numFmtId="169" fontId="15" fillId="0" borderId="8" xfId="7" applyNumberFormat="1" applyFont="1" applyFill="1" applyBorder="1" applyAlignment="1">
      <alignment horizontal="right"/>
    </xf>
    <xf numFmtId="0" fontId="16" fillId="0" borderId="8" xfId="2" applyFont="1" applyFill="1" applyBorder="1" applyAlignment="1">
      <alignment horizontal="left" wrapText="1" indent="1" shrinkToFit="1"/>
    </xf>
    <xf numFmtId="164" fontId="16" fillId="0" borderId="8" xfId="2" applyNumberFormat="1" applyFont="1" applyFill="1" applyBorder="1"/>
    <xf numFmtId="171" fontId="9" fillId="0" borderId="13" xfId="1" applyNumberFormat="1" applyFont="1" applyFill="1" applyBorder="1"/>
    <xf numFmtId="168" fontId="16" fillId="0" borderId="0" xfId="2" applyNumberFormat="1" applyFont="1" applyFill="1"/>
    <xf numFmtId="0" fontId="16" fillId="0" borderId="0" xfId="2" applyFont="1" applyFill="1"/>
    <xf numFmtId="3" fontId="9" fillId="0" borderId="13" xfId="1" applyNumberFormat="1" applyFont="1" applyFill="1" applyBorder="1"/>
    <xf numFmtId="0" fontId="22" fillId="0" borderId="19" xfId="0" applyFont="1" applyFill="1" applyBorder="1" applyAlignment="1">
      <alignment horizontal="left" wrapText="1" indent="2"/>
    </xf>
    <xf numFmtId="0" fontId="22" fillId="0" borderId="8" xfId="0" applyFont="1" applyFill="1" applyBorder="1" applyAlignment="1">
      <alignment horizontal="left" wrapText="1" indent="2"/>
    </xf>
    <xf numFmtId="3" fontId="11" fillId="0" borderId="13" xfId="1" applyNumberFormat="1" applyFont="1" applyFill="1" applyBorder="1"/>
    <xf numFmtId="0" fontId="29" fillId="0" borderId="8" xfId="2" applyFont="1" applyFill="1" applyBorder="1" applyAlignment="1">
      <alignment horizontal="left" wrapText="1" indent="1"/>
    </xf>
    <xf numFmtId="169" fontId="22" fillId="0" borderId="8" xfId="2" applyNumberFormat="1" applyFont="1" applyFill="1" applyBorder="1" applyAlignment="1">
      <alignment horizontal="center"/>
    </xf>
    <xf numFmtId="169" fontId="22" fillId="0" borderId="13" xfId="2" applyNumberFormat="1" applyFont="1" applyFill="1" applyBorder="1" applyAlignment="1">
      <alignment horizontal="center"/>
    </xf>
    <xf numFmtId="0" fontId="34" fillId="0" borderId="8" xfId="2" applyFont="1" applyFill="1" applyBorder="1" applyAlignment="1">
      <alignment horizontal="left" wrapText="1" indent="1"/>
    </xf>
    <xf numFmtId="164" fontId="35" fillId="0" borderId="8" xfId="2" applyNumberFormat="1" applyFont="1" applyFill="1" applyBorder="1"/>
    <xf numFmtId="3" fontId="33" fillId="0" borderId="13" xfId="1" applyNumberFormat="1" applyFont="1" applyFill="1" applyBorder="1"/>
    <xf numFmtId="167" fontId="6" fillId="0" borderId="13" xfId="1" applyNumberFormat="1" applyFont="1" applyFill="1" applyBorder="1" applyAlignment="1">
      <alignment horizontal="center"/>
    </xf>
    <xf numFmtId="168" fontId="33" fillId="0" borderId="13" xfId="1" applyNumberFormat="1" applyFont="1" applyFill="1" applyBorder="1"/>
    <xf numFmtId="0" fontId="20" fillId="0" borderId="0" xfId="2" applyFont="1" applyFill="1"/>
    <xf numFmtId="164" fontId="22" fillId="0" borderId="9" xfId="2" applyNumberFormat="1" applyFont="1" applyFill="1" applyBorder="1"/>
    <xf numFmtId="0" fontId="27" fillId="0" borderId="8" xfId="2" applyFont="1" applyFill="1" applyBorder="1" applyAlignment="1">
      <alignment horizontal="left" wrapText="1" indent="1"/>
    </xf>
    <xf numFmtId="3" fontId="19" fillId="0" borderId="13" xfId="1" applyNumberFormat="1" applyFont="1" applyFill="1" applyBorder="1"/>
    <xf numFmtId="168" fontId="19" fillId="0" borderId="13" xfId="1" applyNumberFormat="1" applyFont="1" applyFill="1" applyBorder="1"/>
    <xf numFmtId="0" fontId="15" fillId="0" borderId="9" xfId="2" applyFont="1" applyFill="1" applyBorder="1"/>
    <xf numFmtId="167" fontId="9" fillId="0" borderId="13" xfId="1" applyNumberFormat="1" applyFont="1" applyFill="1" applyBorder="1" applyAlignment="1">
      <alignment horizontal="center"/>
    </xf>
    <xf numFmtId="0" fontId="23" fillId="0" borderId="9" xfId="2" applyFont="1" applyFill="1" applyBorder="1" applyAlignment="1">
      <alignment horizontal="left" indent="1"/>
    </xf>
    <xf numFmtId="164" fontId="16" fillId="0" borderId="9" xfId="2" applyNumberFormat="1" applyFont="1" applyFill="1" applyBorder="1"/>
    <xf numFmtId="3" fontId="11" fillId="0" borderId="8" xfId="1" applyNumberFormat="1" applyFont="1" applyFill="1" applyBorder="1"/>
    <xf numFmtId="167" fontId="9" fillId="0" borderId="8" xfId="1" applyNumberFormat="1" applyFont="1" applyFill="1" applyBorder="1" applyAlignment="1">
      <alignment horizontal="center"/>
    </xf>
    <xf numFmtId="0" fontId="25" fillId="0" borderId="8" xfId="2" applyFont="1" applyFill="1" applyBorder="1" applyAlignment="1">
      <alignment horizontal="left" wrapText="1" indent="1" shrinkToFit="1"/>
    </xf>
    <xf numFmtId="164" fontId="16" fillId="0" borderId="15" xfId="2" applyNumberFormat="1" applyFont="1" applyFill="1" applyBorder="1"/>
    <xf numFmtId="3" fontId="19" fillId="0" borderId="9" xfId="1" applyNumberFormat="1" applyFont="1" applyFill="1" applyBorder="1"/>
    <xf numFmtId="167" fontId="9" fillId="0" borderId="5" xfId="1" applyNumberFormat="1" applyFont="1" applyFill="1" applyBorder="1" applyAlignment="1">
      <alignment horizontal="center"/>
    </xf>
    <xf numFmtId="168" fontId="9" fillId="0" borderId="0" xfId="1" applyNumberFormat="1" applyFont="1" applyFill="1" applyBorder="1"/>
    <xf numFmtId="168" fontId="9" fillId="0" borderId="5" xfId="1" applyNumberFormat="1" applyFont="1" applyFill="1" applyBorder="1"/>
    <xf numFmtId="0" fontId="16" fillId="0" borderId="2" xfId="2" applyFont="1" applyFill="1" applyBorder="1" applyAlignment="1">
      <alignment horizontal="left"/>
    </xf>
    <xf numFmtId="164" fontId="16" fillId="0" borderId="4" xfId="2" applyNumberFormat="1" applyFont="1" applyFill="1" applyBorder="1"/>
    <xf numFmtId="3" fontId="16" fillId="0" borderId="3" xfId="1" applyNumberFormat="1" applyFont="1" applyFill="1" applyBorder="1"/>
    <xf numFmtId="168" fontId="16" fillId="0" borderId="4" xfId="1" applyNumberFormat="1" applyFont="1" applyFill="1" applyBorder="1"/>
    <xf numFmtId="168" fontId="16" fillId="0" borderId="3" xfId="1" applyNumberFormat="1" applyFont="1" applyFill="1" applyBorder="1"/>
    <xf numFmtId="0" fontId="15" fillId="0" borderId="0" xfId="2" applyFont="1" applyFill="1" applyBorder="1"/>
    <xf numFmtId="0" fontId="15" fillId="0" borderId="5" xfId="2" applyFont="1" applyFill="1" applyBorder="1"/>
    <xf numFmtId="164" fontId="15" fillId="0" borderId="5" xfId="2" applyNumberFormat="1" applyFont="1" applyFill="1" applyBorder="1"/>
    <xf numFmtId="0" fontId="15" fillId="0" borderId="8" xfId="2" applyFont="1" applyFill="1" applyBorder="1" applyAlignment="1">
      <alignment horizontal="left" vertical="justify" indent="2"/>
    </xf>
    <xf numFmtId="169" fontId="15" fillId="0" borderId="13" xfId="2" applyNumberFormat="1" applyFont="1" applyFill="1" applyBorder="1"/>
    <xf numFmtId="170" fontId="9" fillId="0" borderId="13" xfId="1" applyNumberFormat="1" applyFont="1" applyFill="1" applyBorder="1"/>
    <xf numFmtId="3" fontId="22" fillId="0" borderId="0" xfId="2" applyNumberFormat="1" applyFont="1" applyFill="1"/>
    <xf numFmtId="170" fontId="16" fillId="0" borderId="0" xfId="2" applyNumberFormat="1" applyFont="1" applyFill="1"/>
    <xf numFmtId="3" fontId="16" fillId="0" borderId="0" xfId="2" applyNumberFormat="1" applyFont="1" applyFill="1"/>
    <xf numFmtId="49" fontId="16" fillId="0" borderId="0" xfId="2" applyNumberFormat="1" applyFont="1" applyFill="1"/>
    <xf numFmtId="0" fontId="25" fillId="0" borderId="8" xfId="0" applyFont="1" applyFill="1" applyBorder="1" applyAlignment="1">
      <alignment horizontal="left" indent="2"/>
    </xf>
    <xf numFmtId="0" fontId="15" fillId="0" borderId="8" xfId="0" applyFont="1" applyFill="1" applyBorder="1" applyAlignment="1">
      <alignment horizontal="left" indent="2"/>
    </xf>
    <xf numFmtId="169" fontId="25" fillId="0" borderId="8" xfId="2" applyNumberFormat="1" applyFont="1" applyFill="1" applyBorder="1" applyAlignment="1">
      <alignment horizontal="center"/>
    </xf>
    <xf numFmtId="0" fontId="16" fillId="0" borderId="0" xfId="2" applyFont="1" applyFill="1" applyBorder="1"/>
    <xf numFmtId="3" fontId="9" fillId="0" borderId="5" xfId="1" applyNumberFormat="1" applyFont="1" applyFill="1" applyBorder="1"/>
    <xf numFmtId="169" fontId="18" fillId="0" borderId="9" xfId="2" applyNumberFormat="1" applyFont="1" applyFill="1" applyBorder="1" applyAlignment="1">
      <alignment horizontal="center"/>
    </xf>
    <xf numFmtId="0" fontId="9" fillId="0" borderId="33" xfId="2" applyFont="1" applyFill="1" applyBorder="1" applyAlignment="1">
      <alignment wrapText="1"/>
    </xf>
    <xf numFmtId="164" fontId="16" fillId="0" borderId="13" xfId="2" applyNumberFormat="1" applyFont="1" applyFill="1" applyBorder="1"/>
    <xf numFmtId="169" fontId="18" fillId="0" borderId="0" xfId="2" applyNumberFormat="1" applyFont="1" applyFill="1" applyBorder="1" applyAlignment="1">
      <alignment horizontal="center"/>
    </xf>
    <xf numFmtId="0" fontId="7" fillId="0" borderId="8" xfId="0" applyFont="1" applyFill="1" applyBorder="1" applyAlignment="1">
      <alignment wrapText="1"/>
    </xf>
    <xf numFmtId="3" fontId="7" fillId="0" borderId="8" xfId="11" applyNumberFormat="1" applyFont="1" applyFill="1" applyBorder="1"/>
    <xf numFmtId="169" fontId="18" fillId="0" borderId="8" xfId="2" applyNumberFormat="1" applyFont="1" applyFill="1" applyBorder="1" applyAlignment="1">
      <alignment horizontal="center"/>
    </xf>
    <xf numFmtId="168" fontId="9" fillId="0" borderId="23" xfId="1" applyNumberFormat="1" applyFont="1" applyFill="1" applyBorder="1"/>
    <xf numFmtId="164" fontId="16" fillId="0" borderId="5" xfId="2" applyNumberFormat="1" applyFont="1" applyFill="1" applyBorder="1"/>
    <xf numFmtId="3" fontId="7" fillId="0" borderId="8" xfId="1" applyNumberFormat="1" applyFont="1" applyFill="1" applyBorder="1"/>
    <xf numFmtId="3" fontId="9" fillId="0" borderId="15" xfId="1" applyNumberFormat="1" applyFont="1" applyFill="1" applyBorder="1"/>
    <xf numFmtId="3" fontId="15" fillId="0" borderId="4" xfId="1" applyNumberFormat="1" applyFont="1" applyFill="1" applyBorder="1"/>
    <xf numFmtId="168" fontId="15" fillId="0" borderId="3" xfId="1" applyNumberFormat="1" applyFont="1" applyFill="1" applyBorder="1"/>
    <xf numFmtId="168" fontId="15" fillId="0" borderId="4" xfId="1" applyNumberFormat="1" applyFont="1" applyFill="1" applyBorder="1"/>
    <xf numFmtId="168" fontId="15" fillId="0" borderId="16" xfId="1" applyNumberFormat="1" applyFont="1" applyFill="1" applyBorder="1"/>
    <xf numFmtId="0" fontId="28" fillId="0" borderId="5" xfId="2" applyFont="1" applyFill="1" applyBorder="1"/>
    <xf numFmtId="164" fontId="16" fillId="0" borderId="8" xfId="6" applyNumberFormat="1" applyFont="1" applyFill="1" applyBorder="1"/>
    <xf numFmtId="164" fontId="16" fillId="0" borderId="0" xfId="2" applyNumberFormat="1" applyFont="1" applyFill="1"/>
    <xf numFmtId="4" fontId="16" fillId="0" borderId="0" xfId="2" applyNumberFormat="1" applyFont="1" applyFill="1"/>
    <xf numFmtId="0" fontId="38" fillId="0" borderId="0" xfId="0" applyFont="1" applyFill="1"/>
    <xf numFmtId="164" fontId="15" fillId="0" borderId="9" xfId="2" applyNumberFormat="1" applyFont="1" applyFill="1" applyBorder="1"/>
    <xf numFmtId="167" fontId="33" fillId="0" borderId="8" xfId="1" applyNumberFormat="1" applyFont="1" applyFill="1" applyBorder="1" applyAlignment="1">
      <alignment horizontal="center"/>
    </xf>
    <xf numFmtId="167" fontId="33" fillId="0" borderId="13" xfId="1" applyNumberFormat="1" applyFont="1" applyFill="1" applyBorder="1" applyAlignment="1">
      <alignment horizontal="center"/>
    </xf>
    <xf numFmtId="0" fontId="7" fillId="0" borderId="9" xfId="2" applyFont="1" applyFill="1" applyBorder="1" applyAlignment="1">
      <alignment wrapText="1"/>
    </xf>
    <xf numFmtId="0" fontId="15" fillId="0" borderId="8" xfId="2" applyFont="1" applyFill="1" applyBorder="1"/>
    <xf numFmtId="0" fontId="15" fillId="0" borderId="15" xfId="2" applyFont="1" applyFill="1" applyBorder="1"/>
    <xf numFmtId="167" fontId="9" fillId="0" borderId="0" xfId="1" applyNumberFormat="1" applyFont="1" applyFill="1" applyBorder="1" applyAlignment="1">
      <alignment horizontal="center"/>
    </xf>
    <xf numFmtId="3" fontId="16" fillId="0" borderId="4" xfId="1" applyNumberFormat="1" applyFont="1" applyFill="1" applyBorder="1"/>
    <xf numFmtId="168" fontId="16" fillId="0" borderId="16" xfId="1" applyNumberFormat="1" applyFont="1" applyFill="1" applyBorder="1"/>
    <xf numFmtId="169" fontId="18" fillId="0" borderId="13" xfId="2" applyNumberFormat="1" applyFont="1" applyFill="1" applyBorder="1"/>
    <xf numFmtId="0" fontId="33" fillId="0" borderId="8" xfId="2" applyFont="1" applyFill="1" applyBorder="1" applyAlignment="1">
      <alignment horizontal="left" wrapText="1" indent="3"/>
    </xf>
    <xf numFmtId="0" fontId="15" fillId="0" borderId="8" xfId="0" applyFont="1" applyFill="1" applyBorder="1" applyAlignment="1">
      <alignment horizontal="left" vertical="top" wrapText="1" indent="2"/>
    </xf>
    <xf numFmtId="0" fontId="7" fillId="0" borderId="19" xfId="2" applyFont="1" applyFill="1" applyBorder="1" applyAlignment="1">
      <alignment horizontal="left" vertical="top" wrapText="1" indent="2"/>
    </xf>
    <xf numFmtId="0" fontId="7" fillId="0" borderId="8" xfId="2" applyFont="1" applyFill="1" applyBorder="1" applyAlignment="1">
      <alignment horizontal="left" vertical="top" wrapText="1" indent="2"/>
    </xf>
    <xf numFmtId="0" fontId="15" fillId="0" borderId="19" xfId="0" applyFont="1" applyFill="1" applyBorder="1" applyAlignment="1">
      <alignment horizontal="left" wrapText="1" indent="2"/>
    </xf>
    <xf numFmtId="167" fontId="7" fillId="0" borderId="13" xfId="1" applyNumberFormat="1" applyFont="1" applyFill="1" applyBorder="1" applyAlignment="1">
      <alignment horizontal="center"/>
    </xf>
    <xf numFmtId="167" fontId="11" fillId="0" borderId="13" xfId="1" applyNumberFormat="1" applyFont="1" applyFill="1" applyBorder="1" applyAlignment="1">
      <alignment horizontal="center"/>
    </xf>
    <xf numFmtId="2" fontId="7" fillId="0" borderId="58" xfId="21" applyNumberFormat="1" applyFont="1" applyFill="1" applyBorder="1" applyAlignment="1">
      <alignment wrapText="1"/>
    </xf>
    <xf numFmtId="3" fontId="9" fillId="0" borderId="8" xfId="1" applyNumberFormat="1" applyFont="1" applyFill="1" applyBorder="1"/>
    <xf numFmtId="167" fontId="6" fillId="0" borderId="8" xfId="1" applyNumberFormat="1" applyFont="1" applyFill="1" applyBorder="1" applyAlignment="1">
      <alignment horizontal="center"/>
    </xf>
    <xf numFmtId="2" fontId="7" fillId="0" borderId="59" xfId="21" applyNumberFormat="1" applyFont="1" applyFill="1" applyBorder="1" applyAlignment="1">
      <alignment wrapText="1"/>
    </xf>
    <xf numFmtId="2" fontId="7" fillId="0" borderId="51" xfId="21" applyNumberFormat="1" applyFont="1" applyFill="1" applyBorder="1" applyAlignment="1">
      <alignment wrapText="1"/>
    </xf>
    <xf numFmtId="0" fontId="9" fillId="0" borderId="5" xfId="2" applyFont="1" applyFill="1" applyBorder="1" applyAlignment="1">
      <alignment horizontal="center" wrapText="1"/>
    </xf>
    <xf numFmtId="0" fontId="16" fillId="0" borderId="5" xfId="2" applyFont="1" applyFill="1" applyBorder="1" applyAlignment="1">
      <alignment horizontal="left"/>
    </xf>
    <xf numFmtId="169" fontId="15" fillId="0" borderId="8" xfId="2" applyNumberFormat="1" applyFont="1" applyFill="1" applyBorder="1" applyAlignment="1">
      <alignment horizontal="center"/>
    </xf>
    <xf numFmtId="174" fontId="15" fillId="0" borderId="0" xfId="2" applyNumberFormat="1" applyFont="1" applyFill="1"/>
    <xf numFmtId="164" fontId="18" fillId="0" borderId="8" xfId="2" applyNumberFormat="1" applyFont="1" applyFill="1" applyBorder="1" applyAlignment="1">
      <alignment horizontal="center"/>
    </xf>
    <xf numFmtId="174" fontId="16" fillId="0" borderId="0" xfId="2" applyNumberFormat="1" applyFont="1" applyFill="1"/>
    <xf numFmtId="0" fontId="15" fillId="0" borderId="19" xfId="2" applyFont="1" applyFill="1" applyBorder="1" applyAlignment="1">
      <alignment horizontal="left" wrapText="1" indent="2"/>
    </xf>
    <xf numFmtId="3" fontId="15" fillId="0" borderId="8" xfId="1" applyNumberFormat="1" applyFont="1" applyFill="1" applyBorder="1" applyAlignment="1">
      <alignment horizontal="center"/>
    </xf>
    <xf numFmtId="0" fontId="15" fillId="0" borderId="13" xfId="2" applyFont="1" applyFill="1" applyBorder="1" applyAlignment="1">
      <alignment horizontal="center"/>
    </xf>
    <xf numFmtId="168" fontId="15" fillId="0" borderId="13" xfId="1" applyNumberFormat="1" applyFont="1" applyFill="1" applyBorder="1" applyAlignment="1">
      <alignment horizontal="center"/>
    </xf>
    <xf numFmtId="169" fontId="22" fillId="0" borderId="8" xfId="2" applyNumberFormat="1" applyFont="1" applyFill="1" applyBorder="1"/>
    <xf numFmtId="164" fontId="18" fillId="0" borderId="8" xfId="2" applyNumberFormat="1" applyFont="1" applyFill="1" applyBorder="1"/>
    <xf numFmtId="3" fontId="25" fillId="0" borderId="8" xfId="1" applyNumberFormat="1" applyFont="1" applyFill="1" applyBorder="1" applyAlignment="1">
      <alignment horizontal="center"/>
    </xf>
    <xf numFmtId="168" fontId="25" fillId="0" borderId="8" xfId="1" applyNumberFormat="1" applyFont="1" applyFill="1" applyBorder="1" applyAlignment="1">
      <alignment horizontal="center"/>
    </xf>
    <xf numFmtId="169" fontId="22" fillId="0" borderId="13" xfId="2" applyNumberFormat="1" applyFont="1" applyFill="1" applyBorder="1"/>
    <xf numFmtId="3" fontId="26" fillId="0" borderId="8" xfId="1" applyNumberFormat="1" applyFont="1" applyFill="1" applyBorder="1" applyAlignment="1">
      <alignment horizontal="center"/>
    </xf>
    <xf numFmtId="168" fontId="26" fillId="0" borderId="8" xfId="1" applyNumberFormat="1" applyFont="1" applyFill="1" applyBorder="1" applyAlignment="1">
      <alignment horizontal="center"/>
    </xf>
    <xf numFmtId="164" fontId="18" fillId="0" borderId="5" xfId="2" applyNumberFormat="1" applyFont="1" applyFill="1" applyBorder="1"/>
    <xf numFmtId="3" fontId="18" fillId="0" borderId="9" xfId="1" applyNumberFormat="1" applyFont="1" applyFill="1" applyBorder="1" applyAlignment="1">
      <alignment horizontal="center"/>
    </xf>
    <xf numFmtId="167" fontId="6" fillId="0" borderId="5" xfId="1" applyNumberFormat="1" applyFont="1" applyFill="1" applyBorder="1" applyAlignment="1">
      <alignment horizontal="center"/>
    </xf>
    <xf numFmtId="168" fontId="18" fillId="0" borderId="9" xfId="1" applyNumberFormat="1" applyFont="1" applyFill="1" applyBorder="1" applyAlignment="1">
      <alignment horizontal="center"/>
    </xf>
    <xf numFmtId="3" fontId="18" fillId="0" borderId="13" xfId="1" applyNumberFormat="1" applyFont="1" applyFill="1" applyBorder="1" applyAlignment="1">
      <alignment horizontal="center"/>
    </xf>
    <xf numFmtId="167" fontId="6" fillId="0" borderId="0" xfId="1" applyNumberFormat="1" applyFont="1" applyFill="1" applyBorder="1" applyAlignment="1">
      <alignment horizontal="center"/>
    </xf>
    <xf numFmtId="168" fontId="18" fillId="0" borderId="13" xfId="1" applyNumberFormat="1" applyFont="1" applyFill="1" applyBorder="1" applyAlignment="1">
      <alignment horizontal="center"/>
    </xf>
    <xf numFmtId="168" fontId="18" fillId="0" borderId="23" xfId="1" applyNumberFormat="1" applyFont="1" applyFill="1" applyBorder="1" applyAlignment="1">
      <alignment horizontal="center"/>
    </xf>
    <xf numFmtId="3" fontId="22" fillId="0" borderId="8" xfId="2" applyNumberFormat="1" applyFont="1" applyFill="1" applyBorder="1"/>
    <xf numFmtId="3" fontId="18" fillId="0" borderId="13" xfId="2" applyNumberFormat="1" applyFont="1" applyFill="1" applyBorder="1"/>
    <xf numFmtId="0" fontId="7" fillId="0" borderId="8" xfId="0" applyFont="1" applyFill="1" applyBorder="1" applyAlignment="1">
      <alignment horizontal="right" wrapText="1" indent="2"/>
    </xf>
    <xf numFmtId="3" fontId="18" fillId="0" borderId="8" xfId="1" applyNumberFormat="1" applyFont="1" applyFill="1" applyBorder="1" applyAlignment="1">
      <alignment horizontal="right"/>
    </xf>
    <xf numFmtId="3" fontId="15" fillId="0" borderId="8" xfId="1" applyNumberFormat="1" applyFont="1" applyFill="1" applyBorder="1" applyAlignment="1">
      <alignment horizontal="right"/>
    </xf>
    <xf numFmtId="3" fontId="22" fillId="0" borderId="8" xfId="2" applyNumberFormat="1" applyFont="1" applyFill="1" applyBorder="1" applyAlignment="1">
      <alignment horizontal="right"/>
    </xf>
    <xf numFmtId="168" fontId="22" fillId="0" borderId="8" xfId="2" applyNumberFormat="1" applyFont="1" applyFill="1" applyBorder="1"/>
    <xf numFmtId="3" fontId="26" fillId="0" borderId="8" xfId="1" applyNumberFormat="1" applyFont="1" applyFill="1" applyBorder="1" applyAlignment="1">
      <alignment horizontal="right"/>
    </xf>
    <xf numFmtId="0" fontId="16" fillId="0" borderId="4" xfId="2" applyFont="1" applyFill="1" applyBorder="1" applyAlignment="1">
      <alignment horizontal="left"/>
    </xf>
    <xf numFmtId="164" fontId="22" fillId="0" borderId="4" xfId="2" applyNumberFormat="1" applyFont="1" applyFill="1" applyBorder="1"/>
    <xf numFmtId="3" fontId="22" fillId="0" borderId="4" xfId="2" applyNumberFormat="1" applyFont="1" applyFill="1" applyBorder="1" applyAlignment="1">
      <alignment horizontal="right"/>
    </xf>
    <xf numFmtId="164" fontId="16" fillId="0" borderId="1" xfId="2" applyNumberFormat="1" applyFont="1" applyFill="1" applyBorder="1"/>
    <xf numFmtId="3" fontId="15" fillId="0" borderId="1" xfId="1" applyNumberFormat="1" applyFont="1" applyFill="1" applyBorder="1" applyAlignment="1">
      <alignment horizontal="right"/>
    </xf>
    <xf numFmtId="168" fontId="15" fillId="0" borderId="1" xfId="1" applyNumberFormat="1" applyFont="1" applyFill="1" applyBorder="1" applyAlignment="1">
      <alignment horizontal="center"/>
    </xf>
    <xf numFmtId="0" fontId="11" fillId="0" borderId="13" xfId="0" applyFont="1" applyFill="1" applyBorder="1" applyAlignment="1">
      <alignment horizontal="left" indent="1"/>
    </xf>
    <xf numFmtId="3" fontId="7" fillId="0" borderId="13" xfId="1" applyNumberFormat="1" applyFont="1" applyFill="1" applyBorder="1" applyAlignment="1">
      <alignment horizontal="right"/>
    </xf>
    <xf numFmtId="3" fontId="9" fillId="0" borderId="13" xfId="1" applyNumberFormat="1" applyFont="1" applyFill="1" applyBorder="1" applyAlignment="1">
      <alignment horizontal="right"/>
    </xf>
    <xf numFmtId="167" fontId="26" fillId="0" borderId="8" xfId="1" applyNumberFormat="1" applyFont="1" applyFill="1" applyBorder="1" applyAlignment="1">
      <alignment horizontal="center"/>
    </xf>
    <xf numFmtId="3" fontId="18" fillId="0" borderId="9" xfId="1" applyNumberFormat="1" applyFont="1" applyFill="1" applyBorder="1" applyAlignment="1">
      <alignment horizontal="right"/>
    </xf>
    <xf numFmtId="3" fontId="16" fillId="0" borderId="3" xfId="1" applyNumberFormat="1" applyFont="1" applyFill="1" applyBorder="1" applyAlignment="1">
      <alignment horizontal="right"/>
    </xf>
    <xf numFmtId="0" fontId="16" fillId="0" borderId="40" xfId="2" applyFont="1" applyFill="1" applyBorder="1" applyAlignment="1">
      <alignment horizontal="left"/>
    </xf>
    <xf numFmtId="164" fontId="16" fillId="0" borderId="35" xfId="2" applyNumberFormat="1" applyFont="1" applyFill="1" applyBorder="1"/>
    <xf numFmtId="3" fontId="16" fillId="0" borderId="35" xfId="1" applyNumberFormat="1" applyFont="1" applyFill="1" applyBorder="1" applyAlignment="1">
      <alignment horizontal="right"/>
    </xf>
    <xf numFmtId="168" fontId="16" fillId="0" borderId="35" xfId="1" applyNumberFormat="1" applyFont="1" applyFill="1" applyBorder="1"/>
    <xf numFmtId="0" fontId="16" fillId="0" borderId="1" xfId="2" applyFont="1" applyFill="1" applyBorder="1" applyAlignment="1">
      <alignment horizontal="left"/>
    </xf>
    <xf numFmtId="0" fontId="19" fillId="0" borderId="8" xfId="0" applyFont="1" applyFill="1" applyBorder="1" applyAlignment="1">
      <alignment horizontal="left" wrapText="1" indent="2"/>
    </xf>
    <xf numFmtId="164" fontId="9" fillId="0" borderId="9" xfId="2" applyNumberFormat="1" applyFont="1" applyFill="1" applyBorder="1" applyAlignment="1">
      <alignment horizontal="right"/>
    </xf>
    <xf numFmtId="3" fontId="7" fillId="0" borderId="8" xfId="1" applyNumberFormat="1" applyFont="1" applyFill="1" applyBorder="1" applyAlignment="1">
      <alignment horizontal="right"/>
    </xf>
    <xf numFmtId="168" fontId="15" fillId="0" borderId="5" xfId="1" applyNumberFormat="1" applyFont="1" applyFill="1" applyBorder="1" applyAlignment="1">
      <alignment horizontal="center"/>
    </xf>
    <xf numFmtId="3" fontId="7" fillId="0" borderId="5" xfId="1" applyNumberFormat="1" applyFont="1" applyFill="1" applyBorder="1" applyAlignment="1">
      <alignment horizontal="right"/>
    </xf>
    <xf numFmtId="3" fontId="9" fillId="0" borderId="9" xfId="1" applyNumberFormat="1" applyFont="1" applyFill="1" applyBorder="1" applyAlignment="1">
      <alignment horizontal="right"/>
    </xf>
    <xf numFmtId="168" fontId="15" fillId="0" borderId="9" xfId="1" applyNumberFormat="1" applyFont="1" applyFill="1" applyBorder="1" applyAlignment="1">
      <alignment horizontal="center"/>
    </xf>
    <xf numFmtId="3" fontId="16" fillId="0" borderId="4" xfId="1" applyNumberFormat="1" applyFont="1" applyFill="1" applyBorder="1" applyAlignment="1">
      <alignment horizontal="right"/>
    </xf>
    <xf numFmtId="49" fontId="7" fillId="0" borderId="50" xfId="0" applyNumberFormat="1" applyFont="1" applyFill="1" applyBorder="1" applyAlignment="1">
      <alignment horizontal="right"/>
    </xf>
    <xf numFmtId="3" fontId="15" fillId="0" borderId="13" xfId="1" applyNumberFormat="1" applyFont="1" applyFill="1" applyBorder="1" applyAlignment="1">
      <alignment horizontal="right"/>
    </xf>
    <xf numFmtId="3" fontId="9" fillId="0" borderId="5" xfId="1" applyNumberFormat="1" applyFont="1" applyFill="1" applyBorder="1" applyAlignment="1">
      <alignment horizontal="right"/>
    </xf>
    <xf numFmtId="168" fontId="16" fillId="0" borderId="6" xfId="1" applyNumberFormat="1" applyFont="1" applyFill="1" applyBorder="1"/>
    <xf numFmtId="0" fontId="16" fillId="0" borderId="5" xfId="2" applyFont="1" applyFill="1" applyBorder="1"/>
    <xf numFmtId="173" fontId="22" fillId="0" borderId="8" xfId="1" applyNumberFormat="1" applyFont="1" applyFill="1" applyBorder="1" applyAlignment="1">
      <alignment horizontal="center"/>
    </xf>
    <xf numFmtId="0" fontId="16" fillId="0" borderId="8" xfId="2" applyFont="1" applyFill="1" applyBorder="1" applyAlignment="1">
      <alignment horizontal="left" wrapText="1" indent="1"/>
    </xf>
    <xf numFmtId="164" fontId="16" fillId="0" borderId="13" xfId="6" applyNumberFormat="1" applyFont="1" applyFill="1" applyBorder="1"/>
    <xf numFmtId="3" fontId="18" fillId="0" borderId="13" xfId="1" applyNumberFormat="1" applyFont="1" applyFill="1" applyBorder="1" applyAlignment="1">
      <alignment horizontal="right"/>
    </xf>
    <xf numFmtId="3" fontId="11" fillId="0" borderId="13" xfId="1" applyNumberFormat="1" applyFont="1" applyFill="1" applyBorder="1" applyAlignment="1">
      <alignment horizontal="right"/>
    </xf>
    <xf numFmtId="3" fontId="15" fillId="0" borderId="8" xfId="2" applyNumberFormat="1" applyFont="1" applyFill="1" applyBorder="1" applyAlignment="1">
      <alignment horizontal="right"/>
    </xf>
    <xf numFmtId="0" fontId="15" fillId="0" borderId="9" xfId="2" applyFont="1" applyFill="1" applyBorder="1" applyAlignment="1">
      <alignment horizontal="left" wrapText="1" indent="2"/>
    </xf>
    <xf numFmtId="3" fontId="15" fillId="0" borderId="9" xfId="2" applyNumberFormat="1" applyFont="1" applyFill="1" applyBorder="1" applyAlignment="1">
      <alignment horizontal="right"/>
    </xf>
    <xf numFmtId="3" fontId="18" fillId="0" borderId="9" xfId="2" applyNumberFormat="1" applyFont="1" applyFill="1" applyBorder="1" applyAlignment="1">
      <alignment horizontal="right"/>
    </xf>
    <xf numFmtId="3" fontId="15" fillId="0" borderId="13" xfId="1" applyNumberFormat="1" applyFont="1" applyFill="1" applyBorder="1" applyAlignment="1">
      <alignment horizontal="center"/>
    </xf>
    <xf numFmtId="168" fontId="15" fillId="0" borderId="8" xfId="1" applyNumberFormat="1" applyFont="1" applyFill="1" applyBorder="1"/>
    <xf numFmtId="167" fontId="22" fillId="0" borderId="8" xfId="2" applyNumberFormat="1" applyFont="1" applyFill="1" applyBorder="1" applyAlignment="1">
      <alignment horizontal="center"/>
    </xf>
    <xf numFmtId="3" fontId="18" fillId="0" borderId="8" xfId="1" applyNumberFormat="1" applyFont="1" applyFill="1" applyBorder="1"/>
    <xf numFmtId="168" fontId="18" fillId="0" borderId="8" xfId="1" applyNumberFormat="1" applyFont="1" applyFill="1" applyBorder="1"/>
    <xf numFmtId="164" fontId="16" fillId="0" borderId="21" xfId="2" applyNumberFormat="1" applyFont="1" applyFill="1" applyBorder="1"/>
    <xf numFmtId="0" fontId="36" fillId="0" borderId="8" xfId="2" applyFont="1" applyFill="1" applyBorder="1" applyAlignment="1">
      <alignment horizontal="left" indent="1"/>
    </xf>
    <xf numFmtId="0" fontId="16" fillId="0" borderId="9" xfId="2" applyFont="1" applyFill="1" applyBorder="1" applyAlignment="1">
      <alignment horizontal="left" wrapText="1" indent="1"/>
    </xf>
    <xf numFmtId="3" fontId="18" fillId="0" borderId="8" xfId="1" applyNumberFormat="1" applyFont="1" applyFill="1" applyBorder="1" applyAlignment="1">
      <alignment horizontal="center"/>
    </xf>
    <xf numFmtId="49" fontId="16" fillId="0" borderId="0" xfId="2" applyNumberFormat="1" applyFont="1" applyFill="1" applyBorder="1"/>
    <xf numFmtId="3" fontId="16" fillId="0" borderId="0" xfId="2" applyNumberFormat="1" applyFont="1" applyFill="1" applyBorder="1"/>
    <xf numFmtId="1" fontId="16" fillId="0" borderId="0" xfId="2" applyNumberFormat="1" applyFont="1" applyFill="1" applyBorder="1"/>
    <xf numFmtId="164" fontId="9" fillId="0" borderId="5" xfId="2" applyNumberFormat="1" applyFont="1" applyFill="1" applyBorder="1" applyAlignment="1">
      <alignment horizontal="right"/>
    </xf>
    <xf numFmtId="0" fontId="15" fillId="0" borderId="13" xfId="2" applyFont="1" applyFill="1" applyBorder="1" applyAlignment="1">
      <alignment horizontal="left" wrapText="1" indent="2"/>
    </xf>
    <xf numFmtId="164" fontId="9" fillId="0" borderId="5" xfId="1" applyNumberFormat="1" applyFont="1" applyFill="1" applyBorder="1"/>
    <xf numFmtId="164" fontId="9" fillId="0" borderId="9" xfId="1" applyNumberFormat="1" applyFont="1" applyFill="1" applyBorder="1"/>
    <xf numFmtId="3" fontId="7" fillId="0" borderId="9" xfId="1" applyNumberFormat="1" applyFont="1" applyFill="1" applyBorder="1"/>
    <xf numFmtId="3" fontId="19" fillId="0" borderId="19" xfId="2" applyNumberFormat="1" applyFont="1" applyFill="1" applyBorder="1" applyAlignment="1">
      <alignment horizontal="left" wrapText="1" indent="1"/>
    </xf>
    <xf numFmtId="0" fontId="12" fillId="0" borderId="19" xfId="2" applyFont="1" applyFill="1" applyBorder="1" applyAlignment="1">
      <alignment horizontal="left" wrapText="1" indent="1"/>
    </xf>
    <xf numFmtId="0" fontId="7" fillId="0" borderId="19" xfId="0" applyFont="1" applyFill="1" applyBorder="1" applyAlignment="1">
      <alignment horizontal="left" indent="2"/>
    </xf>
    <xf numFmtId="0" fontId="19" fillId="0" borderId="34" xfId="0" applyFont="1" applyFill="1" applyBorder="1" applyAlignment="1">
      <alignment horizontal="left" indent="2"/>
    </xf>
    <xf numFmtId="0" fontId="9" fillId="0" borderId="19" xfId="0" applyFont="1" applyFill="1" applyBorder="1" applyAlignment="1">
      <alignment horizontal="center"/>
    </xf>
    <xf numFmtId="164" fontId="19" fillId="0" borderId="13" xfId="1" applyNumberFormat="1" applyFont="1" applyFill="1" applyBorder="1" applyAlignment="1">
      <alignment horizontal="center"/>
    </xf>
    <xf numFmtId="0" fontId="9" fillId="0" borderId="34" xfId="2" applyFont="1" applyFill="1" applyBorder="1" applyAlignment="1">
      <alignment wrapText="1"/>
    </xf>
    <xf numFmtId="3" fontId="9" fillId="0" borderId="19" xfId="0" applyNumberFormat="1" applyFont="1" applyFill="1" applyBorder="1" applyAlignment="1">
      <alignment horizontal="center"/>
    </xf>
    <xf numFmtId="173" fontId="9" fillId="0" borderId="19" xfId="0" applyNumberFormat="1" applyFont="1" applyFill="1" applyBorder="1" applyAlignment="1">
      <alignment horizontal="center"/>
    </xf>
    <xf numFmtId="164" fontId="19" fillId="0" borderId="15" xfId="1" applyNumberFormat="1" applyFont="1" applyFill="1" applyBorder="1" applyAlignment="1">
      <alignment horizontal="center"/>
    </xf>
    <xf numFmtId="3" fontId="20" fillId="0" borderId="3" xfId="2" applyNumberFormat="1" applyFont="1" applyFill="1" applyBorder="1" applyAlignment="1">
      <alignment horizontal="left" vertical="justify"/>
    </xf>
    <xf numFmtId="0" fontId="20" fillId="0" borderId="3" xfId="2" applyFont="1" applyFill="1" applyBorder="1" applyAlignment="1">
      <alignment horizontal="left" vertical="justify"/>
    </xf>
    <xf numFmtId="0" fontId="20" fillId="0" borderId="16" xfId="2" applyFont="1" applyFill="1" applyBorder="1" applyAlignment="1">
      <alignment horizontal="left" vertical="justify"/>
    </xf>
    <xf numFmtId="0" fontId="16" fillId="0" borderId="0" xfId="2" applyFont="1" applyFill="1" applyBorder="1" applyAlignment="1"/>
    <xf numFmtId="0" fontId="17" fillId="0" borderId="13" xfId="2" applyFont="1" applyFill="1" applyBorder="1" applyAlignment="1">
      <alignment horizontal="left" indent="1"/>
    </xf>
    <xf numFmtId="164" fontId="7" fillId="0" borderId="13" xfId="2" applyNumberFormat="1" applyFont="1" applyFill="1" applyBorder="1"/>
    <xf numFmtId="167" fontId="18" fillId="0" borderId="8" xfId="1" applyNumberFormat="1" applyFont="1" applyFill="1" applyBorder="1" applyAlignment="1">
      <alignment horizontal="center"/>
    </xf>
    <xf numFmtId="3" fontId="7" fillId="0" borderId="8" xfId="0" applyNumberFormat="1" applyFont="1" applyFill="1" applyBorder="1" applyAlignment="1">
      <alignment horizontal="left" vertical="top" wrapText="1" indent="2"/>
    </xf>
    <xf numFmtId="3" fontId="7" fillId="0" borderId="13" xfId="0" applyNumberFormat="1" applyFont="1" applyFill="1" applyBorder="1" applyAlignment="1">
      <alignment horizontal="left" vertical="top" wrapText="1" indent="2"/>
    </xf>
    <xf numFmtId="0" fontId="7" fillId="0" borderId="13" xfId="0" applyFont="1" applyFill="1" applyBorder="1" applyAlignment="1">
      <alignment horizontal="left" vertical="top" wrapText="1" indent="2"/>
    </xf>
    <xf numFmtId="166" fontId="15" fillId="0" borderId="8" xfId="2" applyNumberFormat="1" applyFont="1" applyFill="1" applyBorder="1" applyAlignment="1">
      <alignment horizontal="center"/>
    </xf>
    <xf numFmtId="166" fontId="25" fillId="0" borderId="8" xfId="2" applyNumberFormat="1" applyFont="1" applyFill="1" applyBorder="1" applyAlignment="1">
      <alignment horizontal="center"/>
    </xf>
    <xf numFmtId="0" fontId="9" fillId="0" borderId="9" xfId="2" applyFont="1" applyFill="1" applyBorder="1" applyAlignment="1">
      <alignment vertical="center" wrapText="1"/>
    </xf>
    <xf numFmtId="166" fontId="18" fillId="0" borderId="8" xfId="2" applyNumberFormat="1" applyFont="1" applyFill="1" applyBorder="1" applyAlignment="1">
      <alignment horizontal="center"/>
    </xf>
    <xf numFmtId="168" fontId="16" fillId="0" borderId="5" xfId="1" applyNumberFormat="1" applyFont="1" applyFill="1" applyBorder="1" applyAlignment="1">
      <alignment horizontal="center"/>
    </xf>
    <xf numFmtId="164" fontId="18" fillId="0" borderId="4" xfId="2" applyNumberFormat="1" applyFont="1" applyFill="1" applyBorder="1"/>
    <xf numFmtId="3" fontId="15" fillId="0" borderId="4" xfId="1" applyNumberFormat="1" applyFont="1" applyFill="1" applyBorder="1" applyAlignment="1">
      <alignment horizontal="center"/>
    </xf>
    <xf numFmtId="168" fontId="15" fillId="0" borderId="4" xfId="1" applyNumberFormat="1" applyFont="1" applyFill="1" applyBorder="1" applyAlignment="1">
      <alignment horizontal="center"/>
    </xf>
    <xf numFmtId="3" fontId="15" fillId="0" borderId="5" xfId="1" applyNumberFormat="1" applyFont="1" applyFill="1" applyBorder="1"/>
    <xf numFmtId="168" fontId="15" fillId="0" borderId="5" xfId="1" applyNumberFormat="1" applyFont="1" applyFill="1" applyBorder="1"/>
    <xf numFmtId="3" fontId="24" fillId="0" borderId="8" xfId="2" applyNumberFormat="1" applyFont="1" applyFill="1" applyBorder="1"/>
    <xf numFmtId="3" fontId="25" fillId="0" borderId="5" xfId="2" applyNumberFormat="1" applyFont="1" applyFill="1" applyBorder="1"/>
    <xf numFmtId="168" fontId="18" fillId="0" borderId="5" xfId="1" applyNumberFormat="1" applyFont="1" applyFill="1" applyBorder="1" applyAlignment="1">
      <alignment horizontal="center"/>
    </xf>
    <xf numFmtId="164" fontId="15" fillId="0" borderId="13" xfId="2" applyNumberFormat="1" applyFont="1" applyFill="1" applyBorder="1"/>
    <xf numFmtId="3" fontId="15" fillId="0" borderId="13" xfId="1" applyNumberFormat="1" applyFont="1" applyFill="1" applyBorder="1"/>
    <xf numFmtId="168" fontId="15" fillId="0" borderId="13" xfId="1" applyNumberFormat="1" applyFont="1" applyFill="1" applyBorder="1"/>
    <xf numFmtId="3" fontId="15" fillId="0" borderId="8" xfId="1" applyNumberFormat="1" applyFont="1" applyFill="1" applyBorder="1"/>
    <xf numFmtId="0" fontId="22" fillId="0" borderId="8" xfId="2" applyFont="1" applyFill="1" applyBorder="1" applyAlignment="1">
      <alignment horizontal="left" indent="1"/>
    </xf>
    <xf numFmtId="3" fontId="18" fillId="0" borderId="8" xfId="2" applyNumberFormat="1" applyFont="1" applyFill="1" applyBorder="1"/>
    <xf numFmtId="0" fontId="18" fillId="0" borderId="8" xfId="2" applyFont="1" applyFill="1" applyBorder="1" applyAlignment="1">
      <alignment horizontal="left" wrapText="1" indent="1" shrinkToFit="1"/>
    </xf>
    <xf numFmtId="169" fontId="18" fillId="0" borderId="8" xfId="2" applyNumberFormat="1" applyFont="1" applyFill="1" applyBorder="1"/>
    <xf numFmtId="3" fontId="22" fillId="0" borderId="9" xfId="2" applyNumberFormat="1" applyFont="1" applyFill="1" applyBorder="1"/>
    <xf numFmtId="169" fontId="18" fillId="0" borderId="9" xfId="2" applyNumberFormat="1" applyFont="1" applyFill="1" applyBorder="1"/>
    <xf numFmtId="164" fontId="18" fillId="0" borderId="9" xfId="2" applyNumberFormat="1" applyFont="1" applyFill="1" applyBorder="1"/>
    <xf numFmtId="0" fontId="9" fillId="0" borderId="47" xfId="2" applyFont="1" applyFill="1" applyBorder="1" applyAlignment="1">
      <alignment horizontal="left" indent="1"/>
    </xf>
    <xf numFmtId="164" fontId="18" fillId="0" borderId="29" xfId="2" applyNumberFormat="1" applyFont="1" applyFill="1" applyBorder="1"/>
    <xf numFmtId="0" fontId="19" fillId="0" borderId="13" xfId="2" applyFont="1" applyFill="1" applyBorder="1" applyAlignment="1">
      <alignment horizontal="left" wrapText="1" indent="1"/>
    </xf>
    <xf numFmtId="0" fontId="16" fillId="0" borderId="8" xfId="0" applyFont="1" applyFill="1" applyBorder="1" applyAlignment="1">
      <alignment horizontal="left" indent="1"/>
    </xf>
    <xf numFmtId="167" fontId="18" fillId="0" borderId="8" xfId="2" applyNumberFormat="1" applyFont="1" applyFill="1" applyBorder="1" applyAlignment="1">
      <alignment horizontal="center"/>
    </xf>
    <xf numFmtId="164" fontId="15" fillId="0" borderId="8" xfId="6" applyNumberFormat="1" applyFont="1" applyFill="1" applyBorder="1"/>
    <xf numFmtId="166" fontId="15" fillId="0" borderId="8" xfId="6" applyNumberFormat="1" applyFont="1" applyFill="1" applyBorder="1"/>
    <xf numFmtId="164" fontId="25" fillId="0" borderId="8" xfId="2" applyNumberFormat="1" applyFont="1" applyFill="1" applyBorder="1"/>
    <xf numFmtId="3" fontId="24" fillId="0" borderId="8" xfId="1" applyNumberFormat="1" applyFont="1" applyFill="1" applyBorder="1"/>
    <xf numFmtId="164" fontId="15" fillId="0" borderId="8" xfId="2" applyNumberFormat="1" applyFont="1" applyFill="1" applyBorder="1" applyAlignment="1">
      <alignment vertical="top"/>
    </xf>
    <xf numFmtId="3" fontId="15" fillId="0" borderId="8" xfId="1" applyNumberFormat="1" applyFont="1" applyFill="1" applyBorder="1" applyAlignment="1"/>
    <xf numFmtId="168" fontId="15" fillId="0" borderId="8" xfId="1" applyNumberFormat="1" applyFont="1" applyFill="1" applyBorder="1" applyAlignment="1">
      <alignment vertical="top"/>
    </xf>
    <xf numFmtId="0" fontId="15" fillId="0" borderId="0" xfId="2" applyFont="1" applyFill="1" applyAlignment="1">
      <alignment vertical="top"/>
    </xf>
    <xf numFmtId="0" fontId="15" fillId="0" borderId="9" xfId="0" applyFont="1" applyFill="1" applyBorder="1" applyAlignment="1">
      <alignment horizontal="left" vertical="top" wrapText="1" indent="2"/>
    </xf>
    <xf numFmtId="0" fontId="18" fillId="0" borderId="9" xfId="0" applyFont="1" applyFill="1" applyBorder="1" applyAlignment="1">
      <alignment horizontal="left" wrapText="1" indent="2"/>
    </xf>
    <xf numFmtId="164" fontId="15" fillId="0" borderId="5" xfId="2" applyNumberFormat="1" applyFont="1" applyFill="1" applyBorder="1" applyAlignment="1">
      <alignment vertical="top"/>
    </xf>
    <xf numFmtId="3" fontId="15" fillId="0" borderId="5" xfId="1" applyNumberFormat="1" applyFont="1" applyFill="1" applyBorder="1" applyAlignment="1"/>
    <xf numFmtId="168" fontId="15" fillId="0" borderId="5" xfId="1" applyNumberFormat="1" applyFont="1" applyFill="1" applyBorder="1" applyAlignment="1">
      <alignment vertical="top"/>
    </xf>
    <xf numFmtId="168" fontId="15" fillId="0" borderId="9" xfId="1" applyNumberFormat="1" applyFont="1" applyFill="1" applyBorder="1" applyAlignment="1">
      <alignment vertical="top"/>
    </xf>
    <xf numFmtId="0" fontId="7" fillId="0" borderId="9" xfId="2" applyFont="1" applyFill="1" applyBorder="1" applyAlignment="1">
      <alignment horizontal="left" wrapText="1" indent="1"/>
    </xf>
    <xf numFmtId="0" fontId="18" fillId="0" borderId="5" xfId="0" applyFont="1" applyFill="1" applyBorder="1" applyAlignment="1">
      <alignment horizontal="left" wrapText="1" indent="2"/>
    </xf>
    <xf numFmtId="164" fontId="18" fillId="0" borderId="5" xfId="2" applyNumberFormat="1" applyFont="1" applyFill="1" applyBorder="1" applyAlignment="1">
      <alignment vertical="top"/>
    </xf>
    <xf numFmtId="3" fontId="18" fillId="0" borderId="15" xfId="1" applyNumberFormat="1" applyFont="1" applyFill="1" applyBorder="1" applyAlignment="1"/>
    <xf numFmtId="168" fontId="18" fillId="0" borderId="5" xfId="1" applyNumberFormat="1" applyFont="1" applyFill="1" applyBorder="1" applyAlignment="1">
      <alignment vertical="top"/>
    </xf>
    <xf numFmtId="168" fontId="18" fillId="0" borderId="15" xfId="1" applyNumberFormat="1" applyFont="1" applyFill="1" applyBorder="1" applyAlignment="1">
      <alignment vertical="top"/>
    </xf>
    <xf numFmtId="164" fontId="16" fillId="0" borderId="57" xfId="2" applyNumberFormat="1" applyFont="1" applyFill="1" applyBorder="1"/>
    <xf numFmtId="3" fontId="16" fillId="0" borderId="1" xfId="2" applyNumberFormat="1" applyFont="1" applyFill="1" applyBorder="1"/>
    <xf numFmtId="168" fontId="16" fillId="0" borderId="57" xfId="1" applyNumberFormat="1" applyFont="1" applyFill="1" applyBorder="1"/>
    <xf numFmtId="168" fontId="16" fillId="0" borderId="1" xfId="1" applyNumberFormat="1" applyFont="1" applyFill="1" applyBorder="1"/>
    <xf numFmtId="168" fontId="16" fillId="0" borderId="25" xfId="1" applyNumberFormat="1" applyFont="1" applyFill="1" applyBorder="1"/>
    <xf numFmtId="0" fontId="15" fillId="0" borderId="17" xfId="2" applyFont="1" applyFill="1" applyBorder="1"/>
    <xf numFmtId="0" fontId="4" fillId="0" borderId="0" xfId="2" applyFont="1" applyFill="1" applyBorder="1"/>
    <xf numFmtId="0" fontId="6" fillId="0" borderId="0" xfId="2" applyFont="1" applyFill="1" applyAlignment="1">
      <alignment horizontal="center" vertical="center" wrapText="1"/>
    </xf>
    <xf numFmtId="168" fontId="4" fillId="0" borderId="0" xfId="1" applyNumberFormat="1" applyFont="1" applyFill="1" applyBorder="1"/>
    <xf numFmtId="0" fontId="21" fillId="0" borderId="41" xfId="2" applyFont="1" applyFill="1" applyBorder="1" applyAlignment="1">
      <alignment horizontal="center"/>
    </xf>
    <xf numFmtId="0" fontId="21" fillId="0" borderId="33" xfId="2" applyFont="1" applyFill="1" applyBorder="1" applyAlignment="1">
      <alignment horizontal="center"/>
    </xf>
    <xf numFmtId="0" fontId="5" fillId="0" borderId="40" xfId="2" applyFont="1" applyFill="1" applyBorder="1" applyAlignment="1">
      <alignment horizontal="center" vertical="top"/>
    </xf>
    <xf numFmtId="168" fontId="15" fillId="0" borderId="33" xfId="1" applyNumberFormat="1" applyFont="1" applyFill="1" applyBorder="1" applyAlignment="1">
      <alignment wrapText="1"/>
    </xf>
    <xf numFmtId="0" fontId="15" fillId="0" borderId="2" xfId="2" applyFont="1" applyFill="1" applyBorder="1" applyAlignment="1">
      <alignment horizontal="center" vertical="top"/>
    </xf>
    <xf numFmtId="0" fontId="7" fillId="0" borderId="16" xfId="2" applyFont="1" applyFill="1" applyBorder="1" applyAlignment="1">
      <alignment horizontal="center" vertical="center" wrapText="1"/>
    </xf>
    <xf numFmtId="168" fontId="15" fillId="0" borderId="0" xfId="1" applyNumberFormat="1" applyFont="1" applyFill="1"/>
    <xf numFmtId="0" fontId="9" fillId="0" borderId="32" xfId="2" applyFont="1" applyFill="1" applyBorder="1"/>
    <xf numFmtId="164" fontId="7" fillId="0" borderId="21" xfId="2" applyNumberFormat="1" applyFont="1" applyFill="1" applyBorder="1"/>
    <xf numFmtId="164" fontId="7" fillId="0" borderId="31" xfId="2" applyNumberFormat="1" applyFont="1" applyFill="1" applyBorder="1"/>
    <xf numFmtId="0" fontId="14" fillId="0" borderId="21" xfId="2" applyFont="1" applyFill="1" applyBorder="1"/>
    <xf numFmtId="164" fontId="7" fillId="0" borderId="27" xfId="2" applyNumberFormat="1" applyFont="1" applyFill="1" applyBorder="1"/>
    <xf numFmtId="0" fontId="11" fillId="0" borderId="19" xfId="2" applyFont="1" applyFill="1" applyBorder="1" applyAlignment="1">
      <alignment horizontal="left" indent="1"/>
    </xf>
    <xf numFmtId="0" fontId="7" fillId="0" borderId="19" xfId="2" applyFont="1" applyFill="1" applyBorder="1" applyAlignment="1">
      <alignment horizontal="left" indent="2"/>
    </xf>
    <xf numFmtId="0" fontId="9" fillId="0" borderId="19" xfId="2" applyFont="1" applyFill="1" applyBorder="1" applyAlignment="1">
      <alignment horizontal="left" indent="1"/>
    </xf>
    <xf numFmtId="164" fontId="9" fillId="0" borderId="27" xfId="1" applyNumberFormat="1" applyFont="1" applyFill="1" applyBorder="1"/>
    <xf numFmtId="0" fontId="11" fillId="0" borderId="19" xfId="0" applyFont="1" applyFill="1" applyBorder="1" applyAlignment="1">
      <alignment horizontal="center"/>
    </xf>
    <xf numFmtId="164" fontId="17" fillId="0" borderId="8" xfId="2" applyNumberFormat="1" applyFont="1" applyFill="1" applyBorder="1"/>
    <xf numFmtId="168" fontId="17" fillId="0" borderId="27" xfId="1" applyNumberFormat="1" applyFont="1" applyFill="1" applyBorder="1" applyAlignment="1">
      <alignment horizontal="center"/>
    </xf>
    <xf numFmtId="173" fontId="24" fillId="0" borderId="13" xfId="1" applyNumberFormat="1" applyFont="1" applyFill="1" applyBorder="1" applyAlignment="1">
      <alignment horizontal="center"/>
    </xf>
    <xf numFmtId="164" fontId="11" fillId="0" borderId="13" xfId="1" applyNumberFormat="1" applyFont="1" applyFill="1" applyBorder="1"/>
    <xf numFmtId="168" fontId="17" fillId="0" borderId="13" xfId="1" applyNumberFormat="1" applyFont="1" applyFill="1" applyBorder="1" applyAlignment="1">
      <alignment horizontal="center"/>
    </xf>
    <xf numFmtId="168" fontId="22" fillId="0" borderId="27" xfId="1" applyNumberFormat="1" applyFont="1" applyFill="1" applyBorder="1" applyAlignment="1">
      <alignment horizontal="center"/>
    </xf>
    <xf numFmtId="168" fontId="18" fillId="0" borderId="27" xfId="1" applyNumberFormat="1" applyFont="1" applyFill="1" applyBorder="1" applyAlignment="1">
      <alignment horizontal="center"/>
    </xf>
    <xf numFmtId="164" fontId="14" fillId="0" borderId="8" xfId="2" applyNumberFormat="1" applyFont="1" applyFill="1" applyBorder="1"/>
    <xf numFmtId="164" fontId="14" fillId="0" borderId="27" xfId="1" applyNumberFormat="1" applyFont="1" applyFill="1" applyBorder="1"/>
    <xf numFmtId="164" fontId="14" fillId="0" borderId="13" xfId="1" applyNumberFormat="1" applyFont="1" applyFill="1" applyBorder="1"/>
    <xf numFmtId="0" fontId="14" fillId="0" borderId="19" xfId="2" applyFont="1" applyFill="1" applyBorder="1" applyAlignment="1">
      <alignment horizontal="left" indent="2"/>
    </xf>
    <xf numFmtId="166" fontId="14" fillId="0" borderId="8" xfId="2" applyNumberFormat="1" applyFont="1" applyFill="1" applyBorder="1"/>
    <xf numFmtId="0" fontId="13" fillId="0" borderId="19" xfId="0" applyFont="1" applyFill="1" applyBorder="1" applyAlignment="1">
      <alignment horizontal="left" indent="1"/>
    </xf>
    <xf numFmtId="164" fontId="13" fillId="0" borderId="27" xfId="1" applyNumberFormat="1" applyFont="1" applyFill="1" applyBorder="1"/>
    <xf numFmtId="164" fontId="13" fillId="0" borderId="13" xfId="1" applyNumberFormat="1" applyFont="1" applyFill="1" applyBorder="1"/>
    <xf numFmtId="0" fontId="13" fillId="0" borderId="34" xfId="2" applyFont="1" applyFill="1" applyBorder="1" applyAlignment="1">
      <alignment wrapText="1"/>
    </xf>
    <xf numFmtId="0" fontId="14" fillId="0" borderId="10" xfId="2" applyFont="1" applyFill="1" applyBorder="1"/>
    <xf numFmtId="0" fontId="9" fillId="0" borderId="42" xfId="2" applyFont="1" applyFill="1" applyBorder="1" applyAlignment="1">
      <alignment horizontal="left"/>
    </xf>
    <xf numFmtId="164" fontId="9" fillId="0" borderId="18" xfId="2" applyNumberFormat="1" applyFont="1" applyFill="1" applyBorder="1"/>
    <xf numFmtId="164" fontId="9" fillId="0" borderId="44" xfId="2" applyNumberFormat="1" applyFont="1" applyFill="1" applyBorder="1" applyAlignment="1">
      <alignment horizontal="right"/>
    </xf>
    <xf numFmtId="164" fontId="9" fillId="0" borderId="18" xfId="2" applyNumberFormat="1" applyFont="1" applyFill="1" applyBorder="1" applyAlignment="1">
      <alignment horizontal="right"/>
    </xf>
    <xf numFmtId="0" fontId="9" fillId="0" borderId="41" xfId="2" applyFont="1" applyFill="1" applyBorder="1" applyAlignment="1">
      <alignment horizontal="left"/>
    </xf>
    <xf numFmtId="164" fontId="9" fillId="0" borderId="1" xfId="2" applyNumberFormat="1" applyFont="1" applyFill="1" applyBorder="1"/>
    <xf numFmtId="164" fontId="7" fillId="0" borderId="31" xfId="1" applyNumberFormat="1" applyFont="1" applyFill="1" applyBorder="1"/>
    <xf numFmtId="164" fontId="7" fillId="0" borderId="21" xfId="1" applyNumberFormat="1" applyFont="1" applyFill="1" applyBorder="1"/>
    <xf numFmtId="164" fontId="30" fillId="0" borderId="13" xfId="1" applyNumberFormat="1" applyFont="1" applyFill="1" applyBorder="1"/>
    <xf numFmtId="164" fontId="7" fillId="0" borderId="0" xfId="2" applyNumberFormat="1" applyFont="1" applyFill="1" applyBorder="1"/>
    <xf numFmtId="168" fontId="7" fillId="0" borderId="0" xfId="2" applyNumberFormat="1" applyFont="1" applyFill="1" applyBorder="1"/>
    <xf numFmtId="0" fontId="11" fillId="0" borderId="19" xfId="0" applyFont="1" applyFill="1" applyBorder="1" applyAlignment="1">
      <alignment horizontal="left" wrapText="1" indent="1"/>
    </xf>
    <xf numFmtId="168" fontId="9" fillId="0" borderId="22" xfId="1" applyNumberFormat="1" applyFont="1" applyFill="1" applyBorder="1" applyAlignment="1">
      <alignment horizontal="right"/>
    </xf>
    <xf numFmtId="168" fontId="9" fillId="0" borderId="0" xfId="1" applyNumberFormat="1" applyFont="1" applyFill="1"/>
    <xf numFmtId="168" fontId="7" fillId="0" borderId="27" xfId="1" applyNumberFormat="1" applyFont="1" applyFill="1" applyBorder="1" applyAlignment="1">
      <alignment horizontal="right"/>
    </xf>
    <xf numFmtId="168" fontId="9" fillId="0" borderId="22" xfId="1" applyNumberFormat="1" applyFont="1" applyFill="1" applyBorder="1" applyAlignment="1">
      <alignment horizontal="center"/>
    </xf>
    <xf numFmtId="168" fontId="7" fillId="0" borderId="27" xfId="1" applyNumberFormat="1" applyFont="1" applyFill="1" applyBorder="1"/>
    <xf numFmtId="0" fontId="15" fillId="0" borderId="19" xfId="0" applyFont="1" applyFill="1" applyBorder="1" applyAlignment="1">
      <alignment horizontal="left" indent="2"/>
    </xf>
    <xf numFmtId="164" fontId="7" fillId="0" borderId="22" xfId="2" applyNumberFormat="1" applyFont="1" applyFill="1" applyBorder="1"/>
    <xf numFmtId="164" fontId="7" fillId="0" borderId="22" xfId="2" applyNumberFormat="1" applyFont="1" applyFill="1" applyBorder="1" applyAlignment="1">
      <alignment horizontal="right"/>
    </xf>
    <xf numFmtId="164" fontId="7" fillId="0" borderId="27" xfId="2" applyNumberFormat="1" applyFont="1" applyFill="1" applyBorder="1" applyAlignment="1">
      <alignment horizontal="right"/>
    </xf>
    <xf numFmtId="0" fontId="9" fillId="0" borderId="19" xfId="0" applyFont="1" applyFill="1" applyBorder="1" applyAlignment="1">
      <alignment horizontal="left" indent="1"/>
    </xf>
    <xf numFmtId="0" fontId="15" fillId="0" borderId="34" xfId="0" applyFont="1" applyFill="1" applyBorder="1" applyAlignment="1">
      <alignment horizontal="left" wrapText="1" indent="2"/>
    </xf>
    <xf numFmtId="0" fontId="18" fillId="0" borderId="34" xfId="0" applyFont="1" applyFill="1" applyBorder="1" applyAlignment="1">
      <alignment horizontal="left" wrapText="1" indent="2"/>
    </xf>
    <xf numFmtId="164" fontId="9" fillId="0" borderId="27" xfId="2" applyNumberFormat="1" applyFont="1" applyFill="1" applyBorder="1"/>
    <xf numFmtId="0" fontId="7" fillId="0" borderId="9" xfId="2" applyFont="1" applyFill="1" applyBorder="1"/>
    <xf numFmtId="0" fontId="7" fillId="0" borderId="48" xfId="0" applyFont="1" applyFill="1" applyBorder="1" applyAlignment="1">
      <alignment wrapText="1"/>
    </xf>
    <xf numFmtId="0" fontId="7" fillId="0" borderId="9" xfId="0" applyFont="1" applyFill="1" applyBorder="1" applyAlignment="1">
      <alignment wrapText="1"/>
    </xf>
    <xf numFmtId="164" fontId="7" fillId="0" borderId="8" xfId="1" applyNumberFormat="1" applyFont="1" applyFill="1" applyBorder="1"/>
    <xf numFmtId="164" fontId="9" fillId="0" borderId="23" xfId="1" applyNumberFormat="1" applyFont="1" applyFill="1" applyBorder="1"/>
    <xf numFmtId="167" fontId="9" fillId="0" borderId="23" xfId="1" applyNumberFormat="1" applyFont="1" applyFill="1" applyBorder="1" applyAlignment="1">
      <alignment horizontal="center"/>
    </xf>
    <xf numFmtId="0" fontId="9" fillId="0" borderId="42" xfId="2" applyFont="1" applyFill="1" applyBorder="1"/>
    <xf numFmtId="164" fontId="7" fillId="0" borderId="18" xfId="2" applyNumberFormat="1" applyFont="1" applyFill="1" applyBorder="1"/>
    <xf numFmtId="164" fontId="9" fillId="0" borderId="28" xfId="2" applyNumberFormat="1" applyFont="1" applyFill="1" applyBorder="1" applyAlignment="1">
      <alignment horizontal="right"/>
    </xf>
    <xf numFmtId="0" fontId="7" fillId="0" borderId="33" xfId="2" applyFont="1" applyFill="1" applyBorder="1"/>
    <xf numFmtId="164" fontId="7" fillId="0" borderId="5" xfId="2" applyNumberFormat="1" applyFont="1" applyFill="1" applyBorder="1"/>
    <xf numFmtId="164" fontId="7" fillId="0" borderId="22" xfId="1" applyNumberFormat="1" applyFont="1" applyFill="1" applyBorder="1"/>
    <xf numFmtId="164" fontId="7" fillId="0" borderId="8" xfId="2" applyNumberFormat="1" applyFont="1" applyFill="1" applyBorder="1" applyAlignment="1">
      <alignment horizontal="center"/>
    </xf>
    <xf numFmtId="0" fontId="24" fillId="0" borderId="19" xfId="2" applyFont="1" applyFill="1" applyBorder="1" applyAlignment="1">
      <alignment horizontal="left" indent="2"/>
    </xf>
    <xf numFmtId="168" fontId="16" fillId="0" borderId="0" xfId="1" applyNumberFormat="1" applyFont="1" applyFill="1"/>
    <xf numFmtId="168" fontId="24" fillId="0" borderId="27" xfId="1" applyNumberFormat="1" applyFont="1" applyFill="1" applyBorder="1" applyAlignment="1">
      <alignment horizontal="center"/>
    </xf>
    <xf numFmtId="0" fontId="19" fillId="0" borderId="19" xfId="0" applyFont="1" applyFill="1" applyBorder="1" applyAlignment="1">
      <alignment horizontal="left" indent="1"/>
    </xf>
    <xf numFmtId="164" fontId="19" fillId="0" borderId="27" xfId="1" applyNumberFormat="1" applyFont="1" applyFill="1" applyBorder="1"/>
    <xf numFmtId="0" fontId="7" fillId="0" borderId="12" xfId="2" applyFont="1" applyFill="1" applyBorder="1"/>
    <xf numFmtId="0" fontId="9" fillId="0" borderId="39" xfId="2" applyFont="1" applyFill="1" applyBorder="1" applyAlignment="1">
      <alignment wrapText="1"/>
    </xf>
    <xf numFmtId="164" fontId="9" fillId="0" borderId="14" xfId="2" applyNumberFormat="1" applyFont="1" applyFill="1" applyBorder="1"/>
    <xf numFmtId="164" fontId="9" fillId="0" borderId="45" xfId="2" applyNumberFormat="1" applyFont="1" applyFill="1" applyBorder="1"/>
    <xf numFmtId="0" fontId="15" fillId="0" borderId="24" xfId="0" applyFont="1" applyFill="1" applyBorder="1" applyAlignment="1">
      <alignment horizontal="left" wrapText="1" indent="2"/>
    </xf>
    <xf numFmtId="168" fontId="7" fillId="0" borderId="13" xfId="1" applyNumberFormat="1" applyFont="1" applyFill="1" applyBorder="1" applyAlignment="1">
      <alignment horizontal="right"/>
    </xf>
    <xf numFmtId="0" fontId="22" fillId="0" borderId="24" xfId="0" applyFont="1" applyFill="1" applyBorder="1" applyAlignment="1">
      <alignment horizontal="left" indent="2"/>
    </xf>
    <xf numFmtId="0" fontId="15" fillId="0" borderId="24" xfId="0" applyFont="1" applyFill="1" applyBorder="1" applyAlignment="1">
      <alignment horizontal="left" indent="2"/>
    </xf>
    <xf numFmtId="0" fontId="22" fillId="0" borderId="19" xfId="0" applyFont="1" applyFill="1" applyBorder="1" applyAlignment="1">
      <alignment horizontal="left" indent="2"/>
    </xf>
    <xf numFmtId="164" fontId="9" fillId="0" borderId="37" xfId="2" applyNumberFormat="1" applyFont="1" applyFill="1" applyBorder="1" applyAlignment="1">
      <alignment horizontal="right"/>
    </xf>
    <xf numFmtId="168" fontId="7" fillId="0" borderId="5" xfId="1" applyNumberFormat="1" applyFont="1" applyFill="1" applyBorder="1" applyAlignment="1">
      <alignment horizontal="right"/>
    </xf>
    <xf numFmtId="0" fontId="9" fillId="0" borderId="36" xfId="2" applyFont="1" applyFill="1" applyBorder="1" applyAlignment="1">
      <alignment horizontal="left" indent="1"/>
    </xf>
    <xf numFmtId="164" fontId="9" fillId="0" borderId="11" xfId="2" applyNumberFormat="1" applyFont="1" applyFill="1" applyBorder="1" applyAlignment="1">
      <alignment horizontal="right"/>
    </xf>
    <xf numFmtId="164" fontId="9" fillId="0" borderId="11" xfId="1" applyNumberFormat="1" applyFont="1" applyFill="1" applyBorder="1"/>
    <xf numFmtId="168" fontId="7" fillId="0" borderId="11" xfId="1" applyNumberFormat="1" applyFont="1" applyFill="1" applyBorder="1" applyAlignment="1">
      <alignment horizontal="right"/>
    </xf>
    <xf numFmtId="0" fontId="19" fillId="0" borderId="24" xfId="2" applyFont="1" applyFill="1" applyBorder="1" applyAlignment="1">
      <alignment horizontal="left" wrapText="1" indent="1"/>
    </xf>
    <xf numFmtId="166" fontId="19" fillId="0" borderId="8" xfId="2" applyNumberFormat="1" applyFont="1" applyFill="1" applyBorder="1"/>
    <xf numFmtId="168" fontId="9" fillId="0" borderId="27" xfId="1" applyNumberFormat="1" applyFont="1" applyFill="1" applyBorder="1" applyAlignment="1">
      <alignment horizontal="center"/>
    </xf>
    <xf numFmtId="168" fontId="16" fillId="0" borderId="22" xfId="1" applyNumberFormat="1" applyFont="1" applyFill="1" applyBorder="1" applyAlignment="1">
      <alignment horizontal="center"/>
    </xf>
    <xf numFmtId="0" fontId="7" fillId="0" borderId="34" xfId="0" applyFont="1" applyFill="1" applyBorder="1" applyAlignment="1">
      <alignment horizontal="left" indent="2"/>
    </xf>
    <xf numFmtId="0" fontId="9" fillId="0" borderId="42" xfId="0" applyFont="1" applyFill="1" applyBorder="1" applyAlignment="1">
      <alignment horizontal="left"/>
    </xf>
    <xf numFmtId="0" fontId="7" fillId="0" borderId="10" xfId="2" applyFont="1" applyFill="1" applyBorder="1"/>
    <xf numFmtId="0" fontId="9" fillId="0" borderId="39" xfId="2" applyFont="1" applyFill="1" applyBorder="1"/>
    <xf numFmtId="164" fontId="9" fillId="0" borderId="45" xfId="2" applyNumberFormat="1" applyFont="1" applyFill="1" applyBorder="1" applyAlignment="1">
      <alignment horizontal="right"/>
    </xf>
    <xf numFmtId="164" fontId="9" fillId="0" borderId="14" xfId="2" applyNumberFormat="1" applyFont="1" applyFill="1" applyBorder="1" applyAlignment="1">
      <alignment horizontal="right"/>
    </xf>
    <xf numFmtId="168" fontId="13" fillId="0" borderId="0" xfId="1" applyNumberFormat="1" applyFont="1" applyFill="1" applyBorder="1"/>
    <xf numFmtId="0" fontId="13" fillId="0" borderId="0" xfId="2" applyFont="1" applyFill="1" applyBorder="1"/>
    <xf numFmtId="0" fontId="7" fillId="0" borderId="41" xfId="2" applyFont="1" applyFill="1" applyBorder="1"/>
    <xf numFmtId="164" fontId="7" fillId="0" borderId="1" xfId="2" applyNumberFormat="1" applyFont="1" applyFill="1" applyBorder="1"/>
    <xf numFmtId="49" fontId="7" fillId="0" borderId="0" xfId="0" applyNumberFormat="1" applyFont="1" applyFill="1" applyBorder="1" applyAlignment="1">
      <alignment horizontal="right"/>
    </xf>
    <xf numFmtId="164" fontId="9" fillId="0" borderId="10" xfId="1" applyNumberFormat="1" applyFont="1" applyFill="1" applyBorder="1"/>
    <xf numFmtId="164" fontId="9" fillId="0" borderId="26" xfId="2" applyNumberFormat="1" applyFont="1" applyFill="1" applyBorder="1"/>
    <xf numFmtId="164" fontId="11" fillId="0" borderId="27" xfId="1" applyNumberFormat="1" applyFont="1" applyFill="1" applyBorder="1"/>
    <xf numFmtId="0" fontId="7" fillId="0" borderId="34" xfId="0" applyFont="1" applyFill="1" applyBorder="1" applyAlignment="1">
      <alignment horizontal="left" wrapText="1" indent="2"/>
    </xf>
    <xf numFmtId="164" fontId="9" fillId="0" borderId="44" xfId="2" applyNumberFormat="1" applyFont="1" applyFill="1" applyBorder="1"/>
    <xf numFmtId="164" fontId="9" fillId="0" borderId="5" xfId="2" applyNumberFormat="1" applyFont="1" applyFill="1" applyBorder="1"/>
    <xf numFmtId="168" fontId="9" fillId="0" borderId="27" xfId="1" applyNumberFormat="1" applyFont="1" applyFill="1" applyBorder="1"/>
    <xf numFmtId="0" fontId="27" fillId="0" borderId="19" xfId="2" applyFont="1" applyFill="1" applyBorder="1" applyAlignment="1">
      <alignment horizontal="left" wrapText="1" indent="1"/>
    </xf>
    <xf numFmtId="168" fontId="18" fillId="0" borderId="22" xfId="1" applyNumberFormat="1" applyFont="1" applyFill="1" applyBorder="1" applyAlignment="1">
      <alignment horizontal="center"/>
    </xf>
    <xf numFmtId="0" fontId="7" fillId="0" borderId="24" xfId="2" applyFont="1" applyFill="1" applyBorder="1" applyAlignment="1">
      <alignment horizontal="left" wrapText="1" indent="3"/>
    </xf>
    <xf numFmtId="0" fontId="9" fillId="0" borderId="43" xfId="2" applyFont="1" applyFill="1" applyBorder="1" applyAlignment="1">
      <alignment wrapText="1"/>
    </xf>
    <xf numFmtId="168" fontId="15" fillId="0" borderId="22" xfId="1" applyNumberFormat="1" applyFont="1" applyFill="1" applyBorder="1" applyAlignment="1">
      <alignment horizontal="center"/>
    </xf>
    <xf numFmtId="0" fontId="9" fillId="0" borderId="39" xfId="2" applyFont="1" applyFill="1" applyBorder="1" applyAlignment="1">
      <alignment horizontal="left"/>
    </xf>
    <xf numFmtId="175" fontId="9" fillId="0" borderId="8" xfId="1" applyNumberFormat="1" applyFont="1" applyFill="1" applyBorder="1"/>
    <xf numFmtId="164" fontId="30" fillId="0" borderId="13" xfId="1" applyNumberFormat="1" applyFont="1" applyFill="1" applyBorder="1" applyAlignment="1"/>
    <xf numFmtId="164" fontId="30" fillId="0" borderId="27" xfId="1" applyNumberFormat="1" applyFont="1" applyFill="1" applyBorder="1" applyAlignment="1"/>
    <xf numFmtId="164" fontId="8" fillId="0" borderId="27" xfId="1" applyNumberFormat="1" applyFont="1" applyFill="1" applyBorder="1" applyAlignment="1"/>
    <xf numFmtId="176" fontId="7" fillId="0" borderId="13" xfId="1" applyNumberFormat="1" applyFont="1" applyFill="1" applyBorder="1"/>
    <xf numFmtId="164" fontId="9" fillId="0" borderId="13" xfId="2" applyNumberFormat="1" applyFont="1" applyFill="1" applyBorder="1"/>
    <xf numFmtId="0" fontId="9" fillId="0" borderId="39" xfId="2" applyFont="1" applyFill="1" applyBorder="1" applyAlignment="1">
      <alignment horizontal="left" wrapText="1"/>
    </xf>
    <xf numFmtId="164" fontId="8" fillId="0" borderId="13" xfId="1" applyNumberFormat="1" applyFont="1" applyFill="1" applyBorder="1"/>
    <xf numFmtId="168" fontId="15" fillId="0" borderId="27" xfId="1" applyNumberFormat="1" applyFont="1" applyFill="1" applyBorder="1" applyAlignment="1">
      <alignment horizontal="center"/>
    </xf>
    <xf numFmtId="0" fontId="7" fillId="0" borderId="34" xfId="2" applyFont="1" applyFill="1" applyBorder="1" applyAlignment="1">
      <alignment horizontal="left" wrapText="1" indent="1"/>
    </xf>
    <xf numFmtId="0" fontId="22" fillId="0" borderId="34" xfId="0" applyFont="1" applyFill="1" applyBorder="1" applyAlignment="1">
      <alignment horizontal="left" wrapText="1" indent="2"/>
    </xf>
    <xf numFmtId="164" fontId="7" fillId="0" borderId="13" xfId="1" applyNumberFormat="1" applyFont="1" applyFill="1" applyBorder="1" applyAlignment="1"/>
    <xf numFmtId="164" fontId="7" fillId="0" borderId="27" xfId="1" applyNumberFormat="1" applyFont="1" applyFill="1" applyBorder="1" applyAlignment="1"/>
    <xf numFmtId="0" fontId="9" fillId="0" borderId="41" xfId="2" applyFont="1" applyFill="1" applyBorder="1" applyAlignment="1">
      <alignment horizontal="left" indent="2"/>
    </xf>
    <xf numFmtId="0" fontId="7" fillId="0" borderId="41" xfId="2" applyFont="1" applyFill="1" applyBorder="1" applyAlignment="1">
      <alignment wrapText="1"/>
    </xf>
    <xf numFmtId="164" fontId="7" fillId="0" borderId="44" xfId="1" applyNumberFormat="1" applyFont="1" applyFill="1" applyBorder="1"/>
    <xf numFmtId="164" fontId="7" fillId="0" borderId="18" xfId="1" applyNumberFormat="1" applyFont="1" applyFill="1" applyBorder="1"/>
    <xf numFmtId="0" fontId="9" fillId="0" borderId="18" xfId="2" applyFont="1" applyFill="1" applyBorder="1"/>
    <xf numFmtId="164" fontId="7" fillId="0" borderId="45" xfId="1" applyNumberFormat="1" applyFont="1" applyFill="1" applyBorder="1"/>
    <xf numFmtId="164" fontId="7" fillId="0" borderId="14" xfId="1" applyNumberFormat="1" applyFont="1" applyFill="1" applyBorder="1"/>
    <xf numFmtId="0" fontId="7" fillId="0" borderId="32" xfId="2" applyFont="1" applyFill="1" applyBorder="1"/>
    <xf numFmtId="0" fontId="14" fillId="0" borderId="34" xfId="2" applyFont="1" applyFill="1" applyBorder="1" applyAlignment="1">
      <alignment horizontal="left" wrapText="1" indent="1"/>
    </xf>
    <xf numFmtId="164" fontId="9" fillId="0" borderId="44" xfId="1" applyNumberFormat="1" applyFont="1" applyFill="1" applyBorder="1"/>
    <xf numFmtId="164" fontId="9" fillId="0" borderId="18" xfId="1" applyNumberFormat="1" applyFont="1" applyFill="1" applyBorder="1"/>
    <xf numFmtId="0" fontId="9" fillId="0" borderId="42" xfId="2" applyFont="1" applyFill="1" applyBorder="1" applyAlignment="1">
      <alignment horizontal="left" indent="2"/>
    </xf>
    <xf numFmtId="164" fontId="7" fillId="0" borderId="44" xfId="2" applyNumberFormat="1" applyFont="1" applyFill="1" applyBorder="1"/>
    <xf numFmtId="164" fontId="7" fillId="0" borderId="1" xfId="2" applyNumberFormat="1" applyFont="1" applyFill="1" applyBorder="1" applyAlignment="1">
      <alignment horizontal="center"/>
    </xf>
    <xf numFmtId="164" fontId="7" fillId="0" borderId="13" xfId="1" applyNumberFormat="1" applyFont="1" applyFill="1" applyBorder="1" applyAlignment="1">
      <alignment horizontal="left" indent="1"/>
    </xf>
    <xf numFmtId="164" fontId="15" fillId="0" borderId="8" xfId="3" applyNumberFormat="1" applyFont="1" applyFill="1" applyBorder="1" applyAlignment="1">
      <alignment horizontal="left"/>
    </xf>
    <xf numFmtId="166" fontId="15" fillId="0" borderId="8" xfId="2" applyNumberFormat="1" applyFont="1" applyFill="1" applyBorder="1" applyAlignment="1">
      <alignment horizontal="left" indent="1"/>
    </xf>
    <xf numFmtId="0" fontId="15" fillId="0" borderId="19" xfId="2" applyFont="1" applyFill="1" applyBorder="1" applyAlignment="1">
      <alignment horizontal="left" vertical="justify" indent="2"/>
    </xf>
    <xf numFmtId="0" fontId="16" fillId="0" borderId="19" xfId="2" applyFont="1" applyFill="1" applyBorder="1" applyAlignment="1">
      <alignment horizontal="left" indent="1"/>
    </xf>
    <xf numFmtId="164" fontId="16" fillId="0" borderId="8" xfId="3" applyNumberFormat="1" applyFont="1" applyFill="1" applyBorder="1" applyAlignment="1">
      <alignment horizontal="left"/>
    </xf>
    <xf numFmtId="170" fontId="9" fillId="0" borderId="0" xfId="1" applyNumberFormat="1" applyFont="1" applyFill="1" applyBorder="1"/>
    <xf numFmtId="173" fontId="9" fillId="0" borderId="0" xfId="2" applyNumberFormat="1" applyFont="1" applyFill="1"/>
    <xf numFmtId="0" fontId="33" fillId="0" borderId="19" xfId="2" applyFont="1" applyFill="1" applyBorder="1" applyAlignment="1">
      <alignment horizontal="left" wrapText="1" indent="1"/>
    </xf>
    <xf numFmtId="0" fontId="7" fillId="0" borderId="22" xfId="0" applyFont="1" applyFill="1" applyBorder="1" applyAlignment="1">
      <alignment horizontal="left" vertical="top" wrapText="1" indent="2"/>
    </xf>
    <xf numFmtId="0" fontId="7" fillId="0" borderId="27" xfId="0" applyFont="1" applyFill="1" applyBorder="1" applyAlignment="1">
      <alignment horizontal="left" vertical="top" wrapText="1" indent="2"/>
    </xf>
    <xf numFmtId="0" fontId="7" fillId="0" borderId="19" xfId="2" applyFont="1" applyFill="1" applyBorder="1" applyAlignment="1">
      <alignment horizontal="left" wrapText="1" indent="1"/>
    </xf>
    <xf numFmtId="164" fontId="19" fillId="0" borderId="8" xfId="0" applyNumberFormat="1" applyFont="1" applyFill="1" applyBorder="1" applyAlignment="1">
      <alignment horizontal="left" vertical="top" wrapText="1" indent="2"/>
    </xf>
    <xf numFmtId="164" fontId="19" fillId="0" borderId="13" xfId="0" applyNumberFormat="1" applyFont="1" applyFill="1" applyBorder="1" applyAlignment="1">
      <alignment horizontal="left" vertical="top" wrapText="1" indent="2"/>
    </xf>
    <xf numFmtId="0" fontId="15" fillId="0" borderId="34" xfId="2" applyFont="1" applyFill="1" applyBorder="1" applyAlignment="1">
      <alignment horizontal="left" indent="2"/>
    </xf>
    <xf numFmtId="164" fontId="7" fillId="0" borderId="8" xfId="8" applyNumberFormat="1" applyFont="1" applyFill="1" applyBorder="1"/>
    <xf numFmtId="173" fontId="7" fillId="0" borderId="8" xfId="2" applyNumberFormat="1" applyFont="1" applyFill="1" applyBorder="1" applyAlignment="1">
      <alignment horizontal="center"/>
    </xf>
    <xf numFmtId="173" fontId="7" fillId="0" borderId="13" xfId="2" applyNumberFormat="1" applyFont="1" applyFill="1" applyBorder="1" applyAlignment="1">
      <alignment horizontal="center"/>
    </xf>
    <xf numFmtId="0" fontId="25" fillId="0" borderId="34" xfId="2" applyFont="1" applyFill="1" applyBorder="1" applyAlignment="1">
      <alignment horizontal="left" indent="2"/>
    </xf>
    <xf numFmtId="168" fontId="19" fillId="0" borderId="22" xfId="1" applyNumberFormat="1" applyFont="1" applyFill="1" applyBorder="1" applyAlignment="1">
      <alignment horizontal="center"/>
    </xf>
    <xf numFmtId="0" fontId="9" fillId="0" borderId="34" xfId="2" applyFont="1" applyFill="1" applyBorder="1" applyAlignment="1">
      <alignment vertical="center" wrapText="1"/>
    </xf>
    <xf numFmtId="3" fontId="7" fillId="0" borderId="22" xfId="0" applyNumberFormat="1" applyFont="1" applyFill="1" applyBorder="1" applyAlignment="1">
      <alignment horizontal="left" wrapText="1" indent="2"/>
    </xf>
    <xf numFmtId="0" fontId="11" fillId="0" borderId="8" xfId="0" applyFont="1" applyFill="1" applyBorder="1" applyAlignment="1">
      <alignment horizontal="left" vertical="top" wrapText="1" indent="2"/>
    </xf>
    <xf numFmtId="164" fontId="16" fillId="0" borderId="5" xfId="3" applyNumberFormat="1" applyFont="1" applyFill="1" applyBorder="1" applyAlignment="1">
      <alignment horizontal="left"/>
    </xf>
    <xf numFmtId="3" fontId="9" fillId="0" borderId="23" xfId="0" applyNumberFormat="1" applyFont="1" applyFill="1" applyBorder="1" applyAlignment="1">
      <alignment horizontal="left" wrapText="1" indent="2"/>
    </xf>
    <xf numFmtId="0" fontId="11" fillId="0" borderId="5" xfId="0" applyFont="1" applyFill="1" applyBorder="1" applyAlignment="1">
      <alignment horizontal="left" vertical="top" wrapText="1" indent="2"/>
    </xf>
    <xf numFmtId="164" fontId="19" fillId="0" borderId="5" xfId="1" applyNumberFormat="1" applyFont="1" applyFill="1" applyBorder="1"/>
    <xf numFmtId="0" fontId="16" fillId="0" borderId="42" xfId="2" applyFont="1" applyFill="1" applyBorder="1" applyAlignment="1">
      <alignment horizontal="left"/>
    </xf>
    <xf numFmtId="164" fontId="7" fillId="0" borderId="18" xfId="2" applyNumberFormat="1" applyFont="1" applyFill="1" applyBorder="1" applyAlignment="1">
      <alignment horizontal="center"/>
    </xf>
    <xf numFmtId="164" fontId="16" fillId="0" borderId="44" xfId="2" applyNumberFormat="1" applyFont="1" applyFill="1" applyBorder="1"/>
    <xf numFmtId="164" fontId="16" fillId="0" borderId="18" xfId="2" applyNumberFormat="1" applyFont="1" applyFill="1" applyBorder="1"/>
    <xf numFmtId="164" fontId="7" fillId="0" borderId="5" xfId="2" applyNumberFormat="1" applyFont="1" applyFill="1" applyBorder="1" applyAlignment="1">
      <alignment horizontal="center"/>
    </xf>
    <xf numFmtId="164" fontId="9" fillId="0" borderId="45" xfId="2" applyNumberFormat="1" applyFont="1" applyFill="1" applyBorder="1" applyAlignment="1">
      <alignment horizontal="center"/>
    </xf>
    <xf numFmtId="164" fontId="9" fillId="0" borderId="14" xfId="2" applyNumberFormat="1" applyFont="1" applyFill="1" applyBorder="1" applyAlignment="1">
      <alignment horizontal="center"/>
    </xf>
    <xf numFmtId="164" fontId="16" fillId="0" borderId="7" xfId="2" applyNumberFormat="1" applyFont="1" applyFill="1" applyBorder="1"/>
    <xf numFmtId="164" fontId="7" fillId="0" borderId="46" xfId="1" applyNumberFormat="1" applyFont="1" applyFill="1" applyBorder="1"/>
    <xf numFmtId="164" fontId="7" fillId="0" borderId="7" xfId="1" applyNumberFormat="1" applyFont="1" applyFill="1" applyBorder="1"/>
    <xf numFmtId="0" fontId="9" fillId="0" borderId="34" xfId="2" applyFont="1" applyFill="1" applyBorder="1" applyAlignment="1">
      <alignment horizontal="left" indent="1"/>
    </xf>
    <xf numFmtId="164" fontId="9" fillId="0" borderId="37" xfId="2" applyNumberFormat="1" applyFont="1" applyFill="1" applyBorder="1"/>
    <xf numFmtId="164" fontId="15" fillId="0" borderId="18" xfId="3" applyNumberFormat="1" applyFont="1" applyFill="1" applyBorder="1" applyAlignment="1">
      <alignment horizontal="left"/>
    </xf>
    <xf numFmtId="167" fontId="18" fillId="0" borderId="18" xfId="2" applyNumberFormat="1" applyFont="1" applyFill="1" applyBorder="1" applyAlignment="1">
      <alignment horizontal="center"/>
    </xf>
    <xf numFmtId="164" fontId="9" fillId="0" borderId="22" xfId="2" applyNumberFormat="1" applyFont="1" applyFill="1" applyBorder="1"/>
    <xf numFmtId="0" fontId="4" fillId="0" borderId="24" xfId="2" applyFont="1" applyFill="1" applyBorder="1" applyAlignment="1">
      <alignment horizontal="left" vertical="top" wrapText="1" indent="2"/>
    </xf>
    <xf numFmtId="164" fontId="9" fillId="0" borderId="18" xfId="2" applyNumberFormat="1" applyFont="1" applyFill="1" applyBorder="1" applyAlignment="1">
      <alignment horizontal="center"/>
    </xf>
    <xf numFmtId="164" fontId="9" fillId="0" borderId="44" xfId="2" applyNumberFormat="1" applyFont="1" applyFill="1" applyBorder="1" applyAlignment="1">
      <alignment horizontal="center"/>
    </xf>
    <xf numFmtId="0" fontId="7" fillId="0" borderId="49" xfId="0" applyNumberFormat="1" applyFont="1" applyFill="1" applyBorder="1" applyAlignment="1">
      <alignment horizontal="right"/>
    </xf>
    <xf numFmtId="164" fontId="9" fillId="0" borderId="21" xfId="2" applyNumberFormat="1" applyFont="1" applyFill="1" applyBorder="1"/>
    <xf numFmtId="164" fontId="9" fillId="0" borderId="31" xfId="2" applyNumberFormat="1" applyFont="1" applyFill="1" applyBorder="1"/>
    <xf numFmtId="164" fontId="9" fillId="0" borderId="1" xfId="2" applyNumberFormat="1" applyFont="1" applyFill="1" applyBorder="1" applyAlignment="1">
      <alignment horizontal="center"/>
    </xf>
    <xf numFmtId="164" fontId="9" fillId="0" borderId="25" xfId="2" applyNumberFormat="1" applyFont="1" applyFill="1" applyBorder="1" applyAlignment="1">
      <alignment horizontal="center"/>
    </xf>
    <xf numFmtId="164" fontId="7" fillId="0" borderId="22" xfId="2" applyNumberFormat="1" applyFont="1" applyFill="1" applyBorder="1" applyAlignment="1">
      <alignment horizontal="center"/>
    </xf>
    <xf numFmtId="164" fontId="9" fillId="0" borderId="5" xfId="2" applyNumberFormat="1" applyFont="1" applyFill="1" applyBorder="1" applyAlignment="1">
      <alignment horizontal="center"/>
    </xf>
    <xf numFmtId="0" fontId="9" fillId="0" borderId="44" xfId="2" applyFont="1" applyFill="1" applyBorder="1"/>
    <xf numFmtId="0" fontId="7" fillId="0" borderId="0" xfId="0" applyNumberFormat="1" applyFont="1" applyFill="1" applyBorder="1" applyAlignment="1">
      <alignment horizontal="right"/>
    </xf>
    <xf numFmtId="0" fontId="9" fillId="0" borderId="54" xfId="2" applyFont="1" applyFill="1" applyBorder="1"/>
    <xf numFmtId="0" fontId="9" fillId="0" borderId="53" xfId="2" applyFont="1" applyFill="1" applyBorder="1"/>
    <xf numFmtId="0" fontId="9" fillId="0" borderId="52" xfId="2" applyFont="1" applyFill="1" applyBorder="1"/>
    <xf numFmtId="0" fontId="15" fillId="0" borderId="0" xfId="2" applyFont="1" applyFill="1" applyAlignment="1">
      <alignment wrapText="1"/>
    </xf>
    <xf numFmtId="166" fontId="15" fillId="0" borderId="13" xfId="6" applyNumberFormat="1" applyFont="1" applyFill="1" applyBorder="1"/>
    <xf numFmtId="0" fontId="16" fillId="0" borderId="8" xfId="2" applyFont="1" applyFill="1" applyBorder="1" applyAlignment="1">
      <alignment horizontal="left" indent="1"/>
    </xf>
    <xf numFmtId="170" fontId="16" fillId="0" borderId="0" xfId="2" applyNumberFormat="1" applyFont="1" applyFill="1" applyAlignment="1">
      <alignment horizontal="center"/>
    </xf>
    <xf numFmtId="164" fontId="16" fillId="0" borderId="9" xfId="6" applyNumberFormat="1" applyFont="1" applyFill="1" applyBorder="1"/>
    <xf numFmtId="166" fontId="26" fillId="0" borderId="8" xfId="6" applyNumberFormat="1" applyFont="1" applyFill="1" applyBorder="1"/>
    <xf numFmtId="167" fontId="9" fillId="0" borderId="9" xfId="1" applyNumberFormat="1" applyFont="1" applyFill="1" applyBorder="1" applyAlignment="1">
      <alignment horizontal="center"/>
    </xf>
    <xf numFmtId="0" fontId="15" fillId="0" borderId="10" xfId="2" applyFont="1" applyFill="1" applyBorder="1"/>
    <xf numFmtId="164" fontId="16" fillId="0" borderId="18" xfId="6" applyNumberFormat="1" applyFont="1" applyFill="1" applyBorder="1" applyAlignment="1">
      <alignment horizontal="center"/>
    </xf>
    <xf numFmtId="164" fontId="16" fillId="0" borderId="14" xfId="6" applyNumberFormat="1" applyFont="1" applyFill="1" applyBorder="1" applyAlignment="1">
      <alignment horizontal="center"/>
    </xf>
    <xf numFmtId="166" fontId="16" fillId="0" borderId="0" xfId="2" applyNumberFormat="1" applyFont="1" applyFill="1" applyBorder="1"/>
    <xf numFmtId="0" fontId="16" fillId="0" borderId="17" xfId="2" applyFont="1" applyFill="1" applyBorder="1"/>
    <xf numFmtId="164" fontId="15" fillId="0" borderId="5" xfId="6" applyNumberFormat="1" applyFont="1" applyFill="1" applyBorder="1" applyAlignment="1">
      <alignment horizontal="center"/>
    </xf>
    <xf numFmtId="164" fontId="15" fillId="0" borderId="8" xfId="6" applyNumberFormat="1" applyFont="1" applyFill="1" applyBorder="1" applyAlignment="1">
      <alignment horizontal="center"/>
    </xf>
    <xf numFmtId="164" fontId="16" fillId="0" borderId="8" xfId="2" applyNumberFormat="1" applyFont="1" applyFill="1" applyBorder="1" applyAlignment="1">
      <alignment horizontal="right"/>
    </xf>
    <xf numFmtId="164" fontId="22" fillId="0" borderId="8" xfId="2" applyNumberFormat="1" applyFont="1" applyFill="1" applyBorder="1" applyAlignment="1">
      <alignment horizontal="right"/>
    </xf>
    <xf numFmtId="164" fontId="25" fillId="0" borderId="8" xfId="2" applyNumberFormat="1" applyFont="1" applyFill="1" applyBorder="1" applyAlignment="1">
      <alignment horizontal="right"/>
    </xf>
    <xf numFmtId="166" fontId="18" fillId="0" borderId="8" xfId="6" applyNumberFormat="1" applyFont="1" applyFill="1" applyBorder="1"/>
    <xf numFmtId="166" fontId="22" fillId="0" borderId="8" xfId="6" applyNumberFormat="1" applyFont="1" applyFill="1" applyBorder="1"/>
    <xf numFmtId="164" fontId="26" fillId="0" borderId="8" xfId="6" applyNumberFormat="1" applyFont="1" applyFill="1" applyBorder="1"/>
    <xf numFmtId="164" fontId="11" fillId="0" borderId="8" xfId="1" applyNumberFormat="1" applyFont="1" applyFill="1" applyBorder="1"/>
    <xf numFmtId="164" fontId="11" fillId="0" borderId="5" xfId="1" applyNumberFormat="1" applyFont="1" applyFill="1" applyBorder="1"/>
    <xf numFmtId="0" fontId="32" fillId="0" borderId="5" xfId="2" applyFont="1" applyFill="1" applyBorder="1" applyAlignment="1">
      <alignment horizontal="left" vertical="justify" indent="2"/>
    </xf>
    <xf numFmtId="164" fontId="16" fillId="0" borderId="5" xfId="6" applyNumberFormat="1" applyFont="1" applyFill="1" applyBorder="1"/>
    <xf numFmtId="0" fontId="16" fillId="0" borderId="11" xfId="2" applyFont="1" applyFill="1" applyBorder="1" applyAlignment="1">
      <alignment horizontal="left"/>
    </xf>
    <xf numFmtId="164" fontId="16" fillId="0" borderId="11" xfId="6" applyNumberFormat="1" applyFont="1" applyFill="1" applyBorder="1" applyAlignment="1">
      <alignment horizontal="center"/>
    </xf>
    <xf numFmtId="172" fontId="15" fillId="0" borderId="5" xfId="6" applyNumberFormat="1" applyFont="1" applyFill="1" applyBorder="1"/>
    <xf numFmtId="164" fontId="11" fillId="0" borderId="8" xfId="0" applyNumberFormat="1" applyFont="1" applyFill="1" applyBorder="1" applyAlignment="1">
      <alignment horizontal="left" indent="1"/>
    </xf>
    <xf numFmtId="164" fontId="22" fillId="0" borderId="8" xfId="6" applyNumberFormat="1" applyFont="1" applyFill="1" applyBorder="1"/>
    <xf numFmtId="166" fontId="22" fillId="0" borderId="8" xfId="6" applyNumberFormat="1" applyFont="1" applyFill="1" applyBorder="1" applyAlignment="1">
      <alignment horizontal="center"/>
    </xf>
    <xf numFmtId="166" fontId="22" fillId="0" borderId="13" xfId="6" applyNumberFormat="1" applyFont="1" applyFill="1" applyBorder="1" applyAlignment="1">
      <alignment horizontal="center"/>
    </xf>
    <xf numFmtId="164" fontId="25" fillId="0" borderId="8" xfId="6" applyNumberFormat="1" applyFont="1" applyFill="1" applyBorder="1" applyAlignment="1">
      <alignment horizontal="center"/>
    </xf>
    <xf numFmtId="164" fontId="25" fillId="0" borderId="13" xfId="6" applyNumberFormat="1" applyFont="1" applyFill="1" applyBorder="1" applyAlignment="1">
      <alignment horizontal="center"/>
    </xf>
    <xf numFmtId="164" fontId="15" fillId="0" borderId="9" xfId="6" applyNumberFormat="1" applyFont="1" applyFill="1" applyBorder="1"/>
    <xf numFmtId="172" fontId="16" fillId="0" borderId="14" xfId="6" applyNumberFormat="1" applyFont="1" applyFill="1" applyBorder="1"/>
    <xf numFmtId="166" fontId="15" fillId="0" borderId="8" xfId="2" applyNumberFormat="1" applyFont="1" applyFill="1" applyBorder="1"/>
    <xf numFmtId="166" fontId="15" fillId="0" borderId="8" xfId="6" applyNumberFormat="1" applyFont="1" applyFill="1" applyBorder="1" applyAlignment="1">
      <alignment horizontal="center"/>
    </xf>
    <xf numFmtId="166" fontId="15" fillId="0" borderId="13" xfId="2" applyNumberFormat="1" applyFont="1" applyFill="1" applyBorder="1"/>
    <xf numFmtId="0" fontId="15" fillId="0" borderId="9" xfId="0" applyFont="1" applyFill="1" applyBorder="1" applyAlignment="1">
      <alignment horizontal="left" wrapText="1"/>
    </xf>
    <xf numFmtId="0" fontId="9" fillId="0" borderId="5" xfId="2" applyFont="1" applyFill="1" applyBorder="1" applyAlignment="1">
      <alignment wrapText="1"/>
    </xf>
    <xf numFmtId="0" fontId="7" fillId="0" borderId="8" xfId="2" applyFont="1" applyFill="1" applyBorder="1" applyAlignment="1">
      <alignment wrapText="1"/>
    </xf>
    <xf numFmtId="0" fontId="7" fillId="0" borderId="5" xfId="2" applyFont="1" applyFill="1" applyBorder="1" applyAlignment="1">
      <alignment wrapText="1"/>
    </xf>
    <xf numFmtId="0" fontId="16" fillId="0" borderId="11" xfId="2" applyFont="1" applyFill="1" applyBorder="1"/>
    <xf numFmtId="172" fontId="16" fillId="0" borderId="5" xfId="6" applyNumberFormat="1" applyFont="1" applyFill="1" applyBorder="1" applyAlignment="1">
      <alignment horizontal="left"/>
    </xf>
    <xf numFmtId="0" fontId="15" fillId="0" borderId="8" xfId="2" applyFont="1" applyFill="1" applyBorder="1" applyAlignment="1">
      <alignment horizontal="left" wrapText="1" indent="1"/>
    </xf>
    <xf numFmtId="164" fontId="16" fillId="0" borderId="11" xfId="2" applyNumberFormat="1" applyFont="1" applyFill="1" applyBorder="1"/>
    <xf numFmtId="166" fontId="26" fillId="0" borderId="13" xfId="6" applyNumberFormat="1" applyFont="1" applyFill="1" applyBorder="1"/>
    <xf numFmtId="0" fontId="26" fillId="0" borderId="9" xfId="2" applyFont="1" applyFill="1" applyBorder="1" applyAlignment="1">
      <alignment horizontal="left" indent="2"/>
    </xf>
    <xf numFmtId="164" fontId="7" fillId="0" borderId="5" xfId="1" applyNumberFormat="1" applyFont="1" applyFill="1" applyBorder="1"/>
    <xf numFmtId="0" fontId="7" fillId="0" borderId="10" xfId="2" applyFont="1" applyFill="1" applyBorder="1" applyAlignment="1">
      <alignment wrapText="1"/>
    </xf>
    <xf numFmtId="164" fontId="16" fillId="0" borderId="10" xfId="6" applyNumberFormat="1" applyFont="1" applyFill="1" applyBorder="1"/>
    <xf numFmtId="164" fontId="7" fillId="0" borderId="10" xfId="1" applyNumberFormat="1" applyFont="1" applyFill="1" applyBorder="1"/>
    <xf numFmtId="167" fontId="9" fillId="0" borderId="10" xfId="1" applyNumberFormat="1" applyFont="1" applyFill="1" applyBorder="1" applyAlignment="1">
      <alignment horizontal="center"/>
    </xf>
    <xf numFmtId="0" fontId="16" fillId="0" borderId="14" xfId="2" applyFont="1" applyFill="1" applyBorder="1" applyAlignment="1">
      <alignment horizontal="left"/>
    </xf>
    <xf numFmtId="164" fontId="16" fillId="0" borderId="21" xfId="6" applyNumberFormat="1" applyFont="1" applyFill="1" applyBorder="1"/>
    <xf numFmtId="0" fontId="15" fillId="0" borderId="8" xfId="0" applyFont="1" applyFill="1" applyBorder="1" applyAlignment="1">
      <alignment horizontal="left" vertical="justify" indent="2"/>
    </xf>
    <xf numFmtId="0" fontId="15" fillId="0" borderId="9" xfId="2" applyFont="1" applyFill="1" applyBorder="1" applyAlignment="1">
      <alignment horizontal="left" indent="2"/>
    </xf>
    <xf numFmtId="0" fontId="16" fillId="0" borderId="18" xfId="2" applyFont="1" applyFill="1" applyBorder="1"/>
    <xf numFmtId="164" fontId="16" fillId="0" borderId="18" xfId="6" applyNumberFormat="1" applyFont="1" applyFill="1" applyBorder="1"/>
    <xf numFmtId="164" fontId="11" fillId="0" borderId="8" xfId="2" applyNumberFormat="1" applyFont="1" applyFill="1" applyBorder="1" applyAlignment="1">
      <alignment horizontal="right"/>
    </xf>
    <xf numFmtId="0" fontId="15" fillId="0" borderId="8" xfId="0" applyFont="1" applyFill="1" applyBorder="1" applyAlignment="1">
      <alignment horizontal="left" vertical="justify" wrapText="1" indent="2"/>
    </xf>
    <xf numFmtId="164" fontId="7" fillId="0" borderId="9" xfId="2" applyNumberFormat="1" applyFont="1" applyFill="1" applyBorder="1" applyAlignment="1">
      <alignment horizontal="right"/>
    </xf>
    <xf numFmtId="0" fontId="15" fillId="0" borderId="13" xfId="0" applyFont="1" applyFill="1" applyBorder="1" applyAlignment="1">
      <alignment horizontal="left" wrapText="1" indent="2"/>
    </xf>
    <xf numFmtId="164" fontId="7" fillId="0" borderId="5" xfId="2" applyNumberFormat="1" applyFont="1" applyFill="1" applyBorder="1" applyAlignment="1">
      <alignment horizontal="right"/>
    </xf>
    <xf numFmtId="164" fontId="7" fillId="0" borderId="10" xfId="2" applyNumberFormat="1" applyFont="1" applyFill="1" applyBorder="1" applyAlignment="1">
      <alignment horizontal="right"/>
    </xf>
    <xf numFmtId="164" fontId="15" fillId="0" borderId="8" xfId="2" applyNumberFormat="1" applyFont="1" applyFill="1" applyBorder="1" applyAlignment="1">
      <alignment horizontal="right"/>
    </xf>
    <xf numFmtId="164" fontId="15" fillId="0" borderId="9" xfId="2" applyNumberFormat="1" applyFont="1" applyFill="1" applyBorder="1" applyAlignment="1">
      <alignment horizontal="right"/>
    </xf>
    <xf numFmtId="164" fontId="16" fillId="0" borderId="1" xfId="6" applyNumberFormat="1" applyFont="1" applyFill="1" applyBorder="1"/>
    <xf numFmtId="0" fontId="16" fillId="0" borderId="14" xfId="2" applyFont="1" applyFill="1" applyBorder="1"/>
    <xf numFmtId="164" fontId="16" fillId="0" borderId="14" xfId="6" applyNumberFormat="1" applyFont="1" applyFill="1" applyBorder="1"/>
    <xf numFmtId="0" fontId="16" fillId="0" borderId="21" xfId="2" applyFont="1" applyFill="1" applyBorder="1"/>
    <xf numFmtId="168" fontId="19" fillId="0" borderId="13" xfId="2" applyNumberFormat="1" applyFont="1" applyFill="1" applyBorder="1" applyAlignment="1">
      <alignment horizontal="center"/>
    </xf>
    <xf numFmtId="0" fontId="19" fillId="0" borderId="13" xfId="2" applyFont="1" applyFill="1" applyBorder="1" applyAlignment="1">
      <alignment horizontal="center"/>
    </xf>
    <xf numFmtId="0" fontId="16" fillId="0" borderId="1" xfId="2" applyFont="1" applyFill="1" applyBorder="1"/>
    <xf numFmtId="164" fontId="18" fillId="0" borderId="8" xfId="6" applyNumberFormat="1" applyFont="1" applyFill="1" applyBorder="1" applyAlignment="1">
      <alignment horizontal="center"/>
    </xf>
    <xf numFmtId="0" fontId="6" fillId="0" borderId="29" xfId="2" applyFont="1" applyFill="1" applyBorder="1" applyAlignment="1">
      <alignment horizontal="left" indent="2"/>
    </xf>
    <xf numFmtId="0" fontId="4" fillId="0" borderId="30" xfId="2" applyFont="1" applyFill="1" applyBorder="1" applyAlignment="1">
      <alignment horizontal="left" vertical="top" wrapText="1" indent="2"/>
    </xf>
    <xf numFmtId="164" fontId="18" fillId="0" borderId="5" xfId="6" applyNumberFormat="1" applyFont="1" applyFill="1" applyBorder="1" applyAlignment="1">
      <alignment horizontal="center"/>
    </xf>
    <xf numFmtId="0" fontId="9" fillId="0" borderId="33" xfId="2" applyFont="1" applyFill="1" applyBorder="1" applyAlignment="1"/>
    <xf numFmtId="0" fontId="9" fillId="0" borderId="56" xfId="2" applyFont="1" applyFill="1" applyBorder="1" applyAlignment="1"/>
    <xf numFmtId="0" fontId="9" fillId="0" borderId="53" xfId="2" applyFont="1" applyFill="1" applyBorder="1" applyAlignment="1"/>
    <xf numFmtId="0" fontId="9" fillId="0" borderId="0" xfId="2" applyFont="1" applyFill="1" applyBorder="1" applyAlignment="1"/>
    <xf numFmtId="0" fontId="15" fillId="0" borderId="55" xfId="2" applyFont="1" applyFill="1" applyBorder="1"/>
    <xf numFmtId="0" fontId="6" fillId="0" borderId="0" xfId="0" applyFont="1" applyFill="1" applyAlignment="1">
      <alignment horizontal="justify" vertical="center"/>
    </xf>
    <xf numFmtId="0" fontId="10" fillId="0" borderId="0" xfId="0" applyFont="1" applyFill="1" applyAlignment="1"/>
    <xf numFmtId="164" fontId="15" fillId="0" borderId="0" xfId="2" applyNumberFormat="1" applyFont="1" applyFill="1"/>
    <xf numFmtId="164" fontId="30" fillId="0" borderId="27" xfId="1" applyNumberFormat="1" applyFont="1" applyFill="1" applyBorder="1"/>
    <xf numFmtId="0" fontId="16" fillId="0" borderId="8" xfId="9" applyFont="1" applyFill="1" applyBorder="1" applyAlignment="1" applyProtection="1">
      <alignment wrapText="1"/>
    </xf>
    <xf numFmtId="0" fontId="10" fillId="0" borderId="4" xfId="0" applyFont="1" applyFill="1" applyBorder="1" applyAlignment="1">
      <alignment vertical="justify"/>
    </xf>
    <xf numFmtId="0" fontId="16" fillId="0" borderId="4" xfId="9" applyFont="1" applyFill="1" applyBorder="1" applyAlignment="1" applyProtection="1">
      <alignment wrapText="1"/>
    </xf>
    <xf numFmtId="0" fontId="23" fillId="0" borderId="13" xfId="2" applyFont="1" applyFill="1" applyBorder="1" applyAlignment="1">
      <alignment horizontal="left" vertical="justify" indent="2"/>
    </xf>
    <xf numFmtId="2" fontId="20" fillId="0" borderId="8" xfId="2" applyNumberFormat="1" applyFont="1" applyFill="1" applyBorder="1" applyAlignment="1">
      <alignment wrapText="1"/>
    </xf>
    <xf numFmtId="0" fontId="16" fillId="0" borderId="21" xfId="9" applyFont="1" applyFill="1" applyBorder="1" applyAlignment="1" applyProtection="1">
      <alignment wrapText="1"/>
    </xf>
    <xf numFmtId="164" fontId="7" fillId="0" borderId="13" xfId="1" applyNumberFormat="1" applyFont="1" applyFill="1" applyBorder="1" applyAlignment="1">
      <alignment horizontal="center"/>
    </xf>
    <xf numFmtId="3" fontId="7" fillId="0" borderId="13" xfId="11" applyNumberFormat="1" applyFont="1" applyFill="1" applyBorder="1"/>
    <xf numFmtId="164" fontId="22" fillId="0" borderId="13" xfId="2" applyNumberFormat="1" applyFont="1" applyFill="1" applyBorder="1"/>
    <xf numFmtId="3" fontId="22" fillId="0" borderId="13" xfId="2" applyNumberFormat="1" applyFont="1" applyFill="1" applyBorder="1"/>
    <xf numFmtId="0" fontId="22" fillId="0" borderId="19" xfId="2" applyFont="1" applyFill="1" applyBorder="1" applyAlignment="1">
      <alignment horizontal="left" indent="2"/>
    </xf>
    <xf numFmtId="0" fontId="16" fillId="0" borderId="32" xfId="9" applyFont="1" applyFill="1" applyBorder="1" applyAlignment="1" applyProtection="1">
      <alignment horizontal="left" wrapText="1"/>
    </xf>
    <xf numFmtId="0" fontId="16" fillId="0" borderId="60" xfId="9" applyFont="1" applyFill="1" applyBorder="1" applyAlignment="1" applyProtection="1">
      <alignment horizontal="left" wrapText="1"/>
    </xf>
    <xf numFmtId="0" fontId="16" fillId="0" borderId="31" xfId="9" applyFont="1" applyFill="1" applyBorder="1" applyAlignment="1" applyProtection="1">
      <alignment horizontal="left" wrapText="1"/>
    </xf>
    <xf numFmtId="0" fontId="25" fillId="0" borderId="2" xfId="9" applyFont="1" applyFill="1" applyBorder="1" applyAlignment="1" applyProtection="1">
      <alignment horizontal="left" wrapText="1"/>
    </xf>
    <xf numFmtId="0" fontId="25" fillId="0" borderId="16" xfId="9" applyFont="1" applyFill="1" applyBorder="1" applyAlignment="1" applyProtection="1">
      <alignment horizontal="left" wrapText="1"/>
    </xf>
    <xf numFmtId="0" fontId="15" fillId="0" borderId="0" xfId="2" applyFont="1" applyFill="1" applyBorder="1" applyAlignment="1">
      <alignment horizontal="right" vertical="top" wrapText="1"/>
    </xf>
    <xf numFmtId="0" fontId="15" fillId="0" borderId="0" xfId="2" applyFont="1" applyFill="1" applyBorder="1" applyAlignment="1">
      <alignment horizontal="right" wrapText="1"/>
    </xf>
    <xf numFmtId="0" fontId="20" fillId="0" borderId="0" xfId="2" applyFont="1" applyFill="1" applyAlignment="1">
      <alignment horizontal="center" vertical="center" wrapText="1"/>
    </xf>
    <xf numFmtId="0" fontId="10" fillId="0" borderId="0" xfId="0" applyFont="1" applyFill="1" applyAlignment="1">
      <alignment vertical="center" wrapText="1"/>
    </xf>
    <xf numFmtId="3" fontId="8" fillId="0" borderId="25" xfId="2" applyNumberFormat="1" applyFont="1" applyFill="1" applyBorder="1" applyAlignment="1">
      <alignment horizontal="center" vertical="center" wrapText="1"/>
    </xf>
    <xf numFmtId="3" fontId="8" fillId="0" borderId="23" xfId="2" applyNumberFormat="1" applyFont="1" applyFill="1" applyBorder="1" applyAlignment="1">
      <alignment horizontal="center" vertical="center" wrapText="1"/>
    </xf>
    <xf numFmtId="3" fontId="8" fillId="0" borderId="26" xfId="2" applyNumberFormat="1" applyFont="1" applyFill="1" applyBorder="1" applyAlignment="1">
      <alignment horizontal="center" vertical="center" wrapText="1"/>
    </xf>
    <xf numFmtId="0" fontId="7" fillId="0" borderId="1" xfId="2" applyFont="1" applyFill="1" applyBorder="1" applyAlignment="1">
      <alignment horizontal="center" vertical="center" wrapText="1"/>
    </xf>
    <xf numFmtId="0" fontId="7" fillId="0" borderId="5" xfId="2" applyFont="1" applyFill="1" applyBorder="1" applyAlignment="1">
      <alignment horizontal="center" vertical="center" wrapText="1"/>
    </xf>
    <xf numFmtId="0" fontId="7" fillId="0" borderId="6" xfId="2" applyFont="1" applyFill="1" applyBorder="1" applyAlignment="1">
      <alignment horizontal="center" vertical="center" wrapText="1"/>
    </xf>
    <xf numFmtId="0" fontId="14" fillId="0" borderId="1" xfId="2" applyFont="1" applyFill="1" applyBorder="1" applyAlignment="1">
      <alignment horizontal="center" vertical="center" wrapText="1"/>
    </xf>
    <xf numFmtId="0" fontId="14" fillId="0" borderId="5" xfId="2" applyFont="1" applyFill="1" applyBorder="1" applyAlignment="1">
      <alignment horizontal="center" vertical="center" wrapText="1"/>
    </xf>
    <xf numFmtId="0" fontId="14" fillId="0" borderId="6" xfId="2" applyFont="1" applyFill="1" applyBorder="1" applyAlignment="1">
      <alignment horizontal="center" vertical="center" wrapText="1"/>
    </xf>
    <xf numFmtId="0" fontId="31" fillId="0" borderId="1" xfId="2" applyFont="1" applyFill="1" applyBorder="1" applyAlignment="1">
      <alignment horizontal="center" vertical="center" wrapText="1"/>
    </xf>
    <xf numFmtId="0" fontId="31" fillId="0" borderId="5" xfId="2" applyFont="1" applyFill="1" applyBorder="1" applyAlignment="1">
      <alignment horizontal="center" vertical="center" wrapText="1"/>
    </xf>
    <xf numFmtId="0" fontId="31" fillId="0" borderId="6" xfId="2" applyFont="1" applyFill="1" applyBorder="1" applyAlignment="1">
      <alignment horizontal="center" vertical="center" wrapText="1"/>
    </xf>
    <xf numFmtId="0" fontId="16" fillId="0" borderId="1" xfId="2" applyFont="1" applyFill="1" applyBorder="1" applyAlignment="1">
      <alignment wrapText="1"/>
    </xf>
    <xf numFmtId="0" fontId="16" fillId="0" borderId="13" xfId="2" applyFont="1" applyFill="1" applyBorder="1" applyAlignment="1">
      <alignment wrapText="1"/>
    </xf>
    <xf numFmtId="0" fontId="8" fillId="0" borderId="25" xfId="2" applyFont="1" applyFill="1" applyBorder="1" applyAlignment="1">
      <alignment horizontal="center" vertical="center" wrapText="1"/>
    </xf>
    <xf numFmtId="0" fontId="8" fillId="0" borderId="23" xfId="2" applyFont="1" applyFill="1" applyBorder="1" applyAlignment="1">
      <alignment horizontal="center" vertical="center" wrapText="1"/>
    </xf>
    <xf numFmtId="0" fontId="8" fillId="0" borderId="26" xfId="2" applyFont="1" applyFill="1" applyBorder="1" applyAlignment="1">
      <alignment horizontal="center" vertical="center" wrapText="1"/>
    </xf>
    <xf numFmtId="0" fontId="20" fillId="0" borderId="35" xfId="2" applyFont="1" applyFill="1" applyBorder="1" applyAlignment="1">
      <alignment horizontal="center" vertical="center" wrapText="1"/>
    </xf>
    <xf numFmtId="0" fontId="20" fillId="0" borderId="32" xfId="2" applyFont="1" applyFill="1" applyBorder="1" applyAlignment="1">
      <alignment horizontal="left" vertical="top" wrapText="1"/>
    </xf>
    <xf numFmtId="0" fontId="20" fillId="0" borderId="31" xfId="2" applyFont="1" applyFill="1" applyBorder="1" applyAlignment="1">
      <alignment horizontal="left" vertical="top" wrapText="1"/>
    </xf>
    <xf numFmtId="0" fontId="8" fillId="0" borderId="1" xfId="2" applyFont="1" applyFill="1" applyBorder="1" applyAlignment="1">
      <alignment horizontal="center" vertical="center" wrapText="1"/>
    </xf>
    <xf numFmtId="0" fontId="8" fillId="0" borderId="5" xfId="2" applyFont="1" applyFill="1" applyBorder="1" applyAlignment="1">
      <alignment horizontal="center" vertical="center" wrapText="1"/>
    </xf>
    <xf numFmtId="0" fontId="8" fillId="0" borderId="6" xfId="2" applyFont="1" applyFill="1" applyBorder="1" applyAlignment="1">
      <alignment horizontal="center" vertical="center" wrapText="1"/>
    </xf>
  </cellXfs>
  <cellStyles count="44">
    <cellStyle name="Excel Built-in Normal" xfId="12"/>
    <cellStyle name="Обычный" xfId="0" builtinId="0"/>
    <cellStyle name="Обычный 13" xfId="43"/>
    <cellStyle name="Обычный 2" xfId="4"/>
    <cellStyle name="Обычный 2 2" xfId="13"/>
    <cellStyle name="Обычный 2 3" xfId="14"/>
    <cellStyle name="Обычный 2_Fin край 2012" xfId="15"/>
    <cellStyle name="Обычный 3" xfId="16"/>
    <cellStyle name="Обычный 3 2" xfId="17"/>
    <cellStyle name="Обычный 3 2 2" xfId="18"/>
    <cellStyle name="Обычный 3 2 3" xfId="19"/>
    <cellStyle name="Обычный 3 3" xfId="20"/>
    <cellStyle name="Обычный 3 3 2" xfId="21"/>
    <cellStyle name="Обычный 3 4" xfId="22"/>
    <cellStyle name="Обычный 3 5" xfId="23"/>
    <cellStyle name="Обычный 3 6" xfId="24"/>
    <cellStyle name="Обычный 3 6 2" xfId="25"/>
    <cellStyle name="Обычный 3 7" xfId="26"/>
    <cellStyle name="Обычный 3 8" xfId="27"/>
    <cellStyle name="Обычный 4" xfId="28"/>
    <cellStyle name="Обычный 4 2" xfId="29"/>
    <cellStyle name="Обычный 5" xfId="30"/>
    <cellStyle name="Обычный 6" xfId="31"/>
    <cellStyle name="Обычный 7" xfId="32"/>
    <cellStyle name="Обычный 8" xfId="42"/>
    <cellStyle name="Обычный Лена" xfId="9"/>
    <cellStyle name="Обычный_Таблицы Мун.заказ Стационар" xfId="2"/>
    <cellStyle name="Примечание 2" xfId="33"/>
    <cellStyle name="Процентный 2" xfId="10"/>
    <cellStyle name="Финансовый" xfId="1" builtinId="3"/>
    <cellStyle name="Финансовый [0]_Таблицы Мун.заказ Стационар" xfId="3"/>
    <cellStyle name="Финансовый [0]_Таблицы Мун.заказ Стационар 2" xfId="6"/>
    <cellStyle name="Финансовый [0]_Таблицы Мун.заказ Стационар 7" xfId="8"/>
    <cellStyle name="Финансовый 10" xfId="11"/>
    <cellStyle name="Финансовый 2" xfId="5"/>
    <cellStyle name="Финансовый 2 2" xfId="34"/>
    <cellStyle name="Финансовый 2 3" xfId="35"/>
    <cellStyle name="Финансовый 3" xfId="36"/>
    <cellStyle name="Финансовый 3 2" xfId="37"/>
    <cellStyle name="Финансовый 3 2 2" xfId="38"/>
    <cellStyle name="Финансовый 3 3" xfId="39"/>
    <cellStyle name="Финансовый 3 4" xfId="40"/>
    <cellStyle name="Финансовый 4" xfId="41"/>
    <cellStyle name="Финансовый_Таблицы Мун.заказ Стационар" xfId="7"/>
  </cellStyles>
  <dxfs count="0"/>
  <tableStyles count="0" defaultTableStyle="TableStyleMedium9" defaultPivotStyle="PivotStyleLight16"/>
  <colors>
    <mruColors>
      <color rgb="FFFFFF00"/>
      <color rgb="FFFFCC00"/>
      <color rgb="FF00CCFF"/>
      <color rgb="FFCC66FF"/>
      <color rgb="FFEAD5FF"/>
      <color rgb="FFFF9999"/>
      <color rgb="FFFFCCCC"/>
      <color rgb="FFFFCCFF"/>
      <color rgb="FFFF66FF"/>
      <color rgb="FFFF99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0</xdr:colOff>
      <xdr:row>334</xdr:row>
      <xdr:rowOff>188357</xdr:rowOff>
    </xdr:from>
    <xdr:ext cx="45719" cy="45719"/>
    <xdr:sp macro="" textlink="">
      <xdr:nvSpPr>
        <xdr:cNvPr id="4" name="TextBox 3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SpPr txBox="1"/>
      </xdr:nvSpPr>
      <xdr:spPr>
        <a:xfrm flipV="1">
          <a:off x="3820583" y="21452417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334</xdr:row>
      <xdr:rowOff>188357</xdr:rowOff>
    </xdr:from>
    <xdr:ext cx="45719" cy="45719"/>
    <xdr:sp macro="" textlink="">
      <xdr:nvSpPr>
        <xdr:cNvPr id="5" name="TextBox 4">
          <a:extLst>
            <a:ext uri="{FF2B5EF4-FFF2-40B4-BE49-F238E27FC236}">
              <a16:creationId xmlns="" xmlns:a16="http://schemas.microsoft.com/office/drawing/2014/main" id="{00000000-0008-0000-0000-000005000000}"/>
            </a:ext>
          </a:extLst>
        </xdr:cNvPr>
        <xdr:cNvSpPr txBox="1"/>
      </xdr:nvSpPr>
      <xdr:spPr>
        <a:xfrm flipV="1">
          <a:off x="3820583" y="21452417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262</xdr:row>
      <xdr:rowOff>188357</xdr:rowOff>
    </xdr:from>
    <xdr:ext cx="45719" cy="45719"/>
    <xdr:sp macro="" textlink="">
      <xdr:nvSpPr>
        <xdr:cNvPr id="6" name="TextBox 5">
          <a:extLst>
            <a:ext uri="{FF2B5EF4-FFF2-40B4-BE49-F238E27FC236}">
              <a16:creationId xmlns="" xmlns:a16="http://schemas.microsoft.com/office/drawing/2014/main" id="{00000000-0008-0000-0000-000006000000}"/>
            </a:ext>
          </a:extLst>
        </xdr:cNvPr>
        <xdr:cNvSpPr txBox="1"/>
      </xdr:nvSpPr>
      <xdr:spPr>
        <a:xfrm flipV="1">
          <a:off x="5915025" y="3607832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262</xdr:row>
      <xdr:rowOff>188357</xdr:rowOff>
    </xdr:from>
    <xdr:ext cx="45719" cy="45719"/>
    <xdr:sp macro="" textlink="">
      <xdr:nvSpPr>
        <xdr:cNvPr id="7" name="TextBox 6">
          <a:extLst>
            <a:ext uri="{FF2B5EF4-FFF2-40B4-BE49-F238E27FC236}">
              <a16:creationId xmlns="" xmlns:a16="http://schemas.microsoft.com/office/drawing/2014/main" id="{00000000-0008-0000-0000-000007000000}"/>
            </a:ext>
          </a:extLst>
        </xdr:cNvPr>
        <xdr:cNvSpPr txBox="1"/>
      </xdr:nvSpPr>
      <xdr:spPr>
        <a:xfrm flipV="1">
          <a:off x="5915025" y="3607832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334</xdr:row>
      <xdr:rowOff>188357</xdr:rowOff>
    </xdr:from>
    <xdr:ext cx="45719" cy="45719"/>
    <xdr:sp macro="" textlink="">
      <xdr:nvSpPr>
        <xdr:cNvPr id="10" name="TextBox 9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V="1">
          <a:off x="4699000" y="74049440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334</xdr:row>
      <xdr:rowOff>188357</xdr:rowOff>
    </xdr:from>
    <xdr:ext cx="45719" cy="45719"/>
    <xdr:sp macro="" textlink="">
      <xdr:nvSpPr>
        <xdr:cNvPr id="11" name="TextBox 1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4699000" y="74049440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262</xdr:row>
      <xdr:rowOff>188357</xdr:rowOff>
    </xdr:from>
    <xdr:ext cx="45719" cy="45719"/>
    <xdr:sp macro="" textlink="">
      <xdr:nvSpPr>
        <xdr:cNvPr id="12" name="TextBox 11">
          <a:extLst>
            <a:ext uri="{FF2B5EF4-FFF2-40B4-BE49-F238E27FC236}">
              <a16:creationId xmlns="" xmlns:a16="http://schemas.microsoft.com/office/drawing/2014/main" id="{00000000-0008-0000-0000-00000C000000}"/>
            </a:ext>
          </a:extLst>
        </xdr:cNvPr>
        <xdr:cNvSpPr txBox="1"/>
      </xdr:nvSpPr>
      <xdr:spPr>
        <a:xfrm flipV="1">
          <a:off x="8710083" y="26900690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262</xdr:row>
      <xdr:rowOff>188357</xdr:rowOff>
    </xdr:from>
    <xdr:ext cx="45719" cy="45719"/>
    <xdr:sp macro="" textlink="">
      <xdr:nvSpPr>
        <xdr:cNvPr id="13" name="TextBox 12">
          <a:extLst>
            <a:ext uri="{FF2B5EF4-FFF2-40B4-BE49-F238E27FC236}">
              <a16:creationId xmlns="" xmlns:a16="http://schemas.microsoft.com/office/drawing/2014/main" id="{00000000-0008-0000-0000-00000D000000}"/>
            </a:ext>
          </a:extLst>
        </xdr:cNvPr>
        <xdr:cNvSpPr txBox="1"/>
      </xdr:nvSpPr>
      <xdr:spPr>
        <a:xfrm flipV="1">
          <a:off x="8710083" y="26900690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487</xdr:row>
      <xdr:rowOff>0</xdr:rowOff>
    </xdr:from>
    <xdr:ext cx="45719" cy="45719"/>
    <xdr:sp macro="" textlink="">
      <xdr:nvSpPr>
        <xdr:cNvPr id="14" name="TextBox 13">
          <a:extLst>
            <a:ext uri="{FF2B5EF4-FFF2-40B4-BE49-F238E27FC236}">
              <a16:creationId xmlns="" xmlns:a16="http://schemas.microsoft.com/office/drawing/2014/main" id="{00000000-0008-0000-0000-00000E000000}"/>
            </a:ext>
          </a:extLst>
        </xdr:cNvPr>
        <xdr:cNvSpPr txBox="1"/>
      </xdr:nvSpPr>
      <xdr:spPr>
        <a:xfrm flipV="1">
          <a:off x="4695825" y="35259407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487</xdr:row>
      <xdr:rowOff>0</xdr:rowOff>
    </xdr:from>
    <xdr:ext cx="45719" cy="45719"/>
    <xdr:sp macro="" textlink="">
      <xdr:nvSpPr>
        <xdr:cNvPr id="15" name="TextBox 14">
          <a:extLst>
            <a:ext uri="{FF2B5EF4-FFF2-40B4-BE49-F238E27FC236}">
              <a16:creationId xmlns="" xmlns:a16="http://schemas.microsoft.com/office/drawing/2014/main" id="{00000000-0008-0000-0000-00000F000000}"/>
            </a:ext>
          </a:extLst>
        </xdr:cNvPr>
        <xdr:cNvSpPr txBox="1"/>
      </xdr:nvSpPr>
      <xdr:spPr>
        <a:xfrm flipV="1">
          <a:off x="4695825" y="35259407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487</xdr:row>
      <xdr:rowOff>0</xdr:rowOff>
    </xdr:from>
    <xdr:ext cx="45719" cy="45719"/>
    <xdr:sp macro="" textlink="">
      <xdr:nvSpPr>
        <xdr:cNvPr id="16" name="TextBox 15">
          <a:extLst>
            <a:ext uri="{FF2B5EF4-FFF2-40B4-BE49-F238E27FC236}">
              <a16:creationId xmlns="" xmlns:a16="http://schemas.microsoft.com/office/drawing/2014/main" id="{00000000-0008-0000-0000-000010000000}"/>
            </a:ext>
          </a:extLst>
        </xdr:cNvPr>
        <xdr:cNvSpPr txBox="1"/>
      </xdr:nvSpPr>
      <xdr:spPr>
        <a:xfrm flipV="1">
          <a:off x="4695825" y="35259407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487</xdr:row>
      <xdr:rowOff>0</xdr:rowOff>
    </xdr:from>
    <xdr:ext cx="45719" cy="45719"/>
    <xdr:sp macro="" textlink="">
      <xdr:nvSpPr>
        <xdr:cNvPr id="17" name="TextBox 16">
          <a:extLst>
            <a:ext uri="{FF2B5EF4-FFF2-40B4-BE49-F238E27FC236}">
              <a16:creationId xmlns="" xmlns:a16="http://schemas.microsoft.com/office/drawing/2014/main" id="{00000000-0008-0000-0000-000011000000}"/>
            </a:ext>
          </a:extLst>
        </xdr:cNvPr>
        <xdr:cNvSpPr txBox="1"/>
      </xdr:nvSpPr>
      <xdr:spPr>
        <a:xfrm flipV="1">
          <a:off x="4695825" y="35259407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0</xdr:colOff>
      <xdr:row>258</xdr:row>
      <xdr:rowOff>188357</xdr:rowOff>
    </xdr:from>
    <xdr:ext cx="45719" cy="45719"/>
    <xdr:sp macro="" textlink="">
      <xdr:nvSpPr>
        <xdr:cNvPr id="18" name="TextBox 17">
          <a:extLst>
            <a:ext uri="{FF2B5EF4-FFF2-40B4-BE49-F238E27FC236}">
              <a16:creationId xmlns="" xmlns:a16="http://schemas.microsoft.com/office/drawing/2014/main" id="{00000000-0008-0000-0000-000012000000}"/>
            </a:ext>
          </a:extLst>
        </xdr:cNvPr>
        <xdr:cNvSpPr txBox="1"/>
      </xdr:nvSpPr>
      <xdr:spPr>
        <a:xfrm flipV="1">
          <a:off x="5471583" y="39600690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0</xdr:colOff>
      <xdr:row>258</xdr:row>
      <xdr:rowOff>188357</xdr:rowOff>
    </xdr:from>
    <xdr:ext cx="45719" cy="45719"/>
    <xdr:sp macro="" textlink="">
      <xdr:nvSpPr>
        <xdr:cNvPr id="19" name="TextBox 18">
          <a:extLst>
            <a:ext uri="{FF2B5EF4-FFF2-40B4-BE49-F238E27FC236}">
              <a16:creationId xmlns="" xmlns:a16="http://schemas.microsoft.com/office/drawing/2014/main" id="{00000000-0008-0000-0000-000013000000}"/>
            </a:ext>
          </a:extLst>
        </xdr:cNvPr>
        <xdr:cNvSpPr txBox="1"/>
      </xdr:nvSpPr>
      <xdr:spPr>
        <a:xfrm flipV="1">
          <a:off x="5471583" y="39600690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0</xdr:colOff>
      <xdr:row>334</xdr:row>
      <xdr:rowOff>188357</xdr:rowOff>
    </xdr:from>
    <xdr:ext cx="45719" cy="45719"/>
    <xdr:sp macro="" textlink="">
      <xdr:nvSpPr>
        <xdr:cNvPr id="20" name="TextBox 19">
          <a:extLst>
            <a:ext uri="{FF2B5EF4-FFF2-40B4-BE49-F238E27FC236}">
              <a16:creationId xmlns="" xmlns:a16="http://schemas.microsoft.com/office/drawing/2014/main" id="{00000000-0008-0000-0000-000014000000}"/>
            </a:ext>
          </a:extLst>
        </xdr:cNvPr>
        <xdr:cNvSpPr txBox="1"/>
      </xdr:nvSpPr>
      <xdr:spPr>
        <a:xfrm flipV="1">
          <a:off x="5471583" y="51496357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0</xdr:colOff>
      <xdr:row>334</xdr:row>
      <xdr:rowOff>188357</xdr:rowOff>
    </xdr:from>
    <xdr:ext cx="45719" cy="45719"/>
    <xdr:sp macro="" textlink="">
      <xdr:nvSpPr>
        <xdr:cNvPr id="21" name="TextBox 20">
          <a:extLst>
            <a:ext uri="{FF2B5EF4-FFF2-40B4-BE49-F238E27FC236}">
              <a16:creationId xmlns="" xmlns:a16="http://schemas.microsoft.com/office/drawing/2014/main" id="{00000000-0008-0000-0000-000015000000}"/>
            </a:ext>
          </a:extLst>
        </xdr:cNvPr>
        <xdr:cNvSpPr txBox="1"/>
      </xdr:nvSpPr>
      <xdr:spPr>
        <a:xfrm flipV="1">
          <a:off x="5471583" y="51496357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0</xdr:colOff>
      <xdr:row>487</xdr:row>
      <xdr:rowOff>0</xdr:rowOff>
    </xdr:from>
    <xdr:ext cx="45719" cy="45719"/>
    <xdr:sp macro="" textlink="">
      <xdr:nvSpPr>
        <xdr:cNvPr id="22" name="TextBox 21">
          <a:extLst>
            <a:ext uri="{FF2B5EF4-FFF2-40B4-BE49-F238E27FC236}">
              <a16:creationId xmlns="" xmlns:a16="http://schemas.microsoft.com/office/drawing/2014/main" id="{00000000-0008-0000-0000-000016000000}"/>
            </a:ext>
          </a:extLst>
        </xdr:cNvPr>
        <xdr:cNvSpPr txBox="1"/>
      </xdr:nvSpPr>
      <xdr:spPr>
        <a:xfrm flipV="1">
          <a:off x="5471583" y="72231250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0</xdr:colOff>
      <xdr:row>487</xdr:row>
      <xdr:rowOff>0</xdr:rowOff>
    </xdr:from>
    <xdr:ext cx="45719" cy="45719"/>
    <xdr:sp macro="" textlink="">
      <xdr:nvSpPr>
        <xdr:cNvPr id="23" name="TextBox 22">
          <a:extLst>
            <a:ext uri="{FF2B5EF4-FFF2-40B4-BE49-F238E27FC236}">
              <a16:creationId xmlns="" xmlns:a16="http://schemas.microsoft.com/office/drawing/2014/main" id="{00000000-0008-0000-0000-000017000000}"/>
            </a:ext>
          </a:extLst>
        </xdr:cNvPr>
        <xdr:cNvSpPr txBox="1"/>
      </xdr:nvSpPr>
      <xdr:spPr>
        <a:xfrm flipV="1">
          <a:off x="5471583" y="72231250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0</xdr:colOff>
      <xdr:row>750</xdr:row>
      <xdr:rowOff>0</xdr:rowOff>
    </xdr:from>
    <xdr:ext cx="104775" cy="163419"/>
    <xdr:sp macro="" textlink="">
      <xdr:nvSpPr>
        <xdr:cNvPr id="24" name="Text Box 1">
          <a:extLst>
            <a:ext uri="{FF2B5EF4-FFF2-40B4-BE49-F238E27FC236}">
              <a16:creationId xmlns="" xmlns:a16="http://schemas.microsoft.com/office/drawing/2014/main" id="{00000000-0008-0000-0000-000018000000}"/>
            </a:ext>
          </a:extLst>
        </xdr:cNvPr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750</xdr:row>
      <xdr:rowOff>0</xdr:rowOff>
    </xdr:from>
    <xdr:ext cx="104775" cy="163419"/>
    <xdr:sp macro="" textlink="">
      <xdr:nvSpPr>
        <xdr:cNvPr id="25" name="Text Box 1">
          <a:extLst>
            <a:ext uri="{FF2B5EF4-FFF2-40B4-BE49-F238E27FC236}">
              <a16:creationId xmlns="" xmlns:a16="http://schemas.microsoft.com/office/drawing/2014/main" id="{00000000-0008-0000-0000-000019000000}"/>
            </a:ext>
          </a:extLst>
        </xdr:cNvPr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750</xdr:row>
      <xdr:rowOff>0</xdr:rowOff>
    </xdr:from>
    <xdr:ext cx="104775" cy="163419"/>
    <xdr:sp macro="" textlink="">
      <xdr:nvSpPr>
        <xdr:cNvPr id="26" name="Text Box 1">
          <a:extLst>
            <a:ext uri="{FF2B5EF4-FFF2-40B4-BE49-F238E27FC236}">
              <a16:creationId xmlns="" xmlns:a16="http://schemas.microsoft.com/office/drawing/2014/main" id="{00000000-0008-0000-0000-00001A000000}"/>
            </a:ext>
          </a:extLst>
        </xdr:cNvPr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750</xdr:row>
      <xdr:rowOff>0</xdr:rowOff>
    </xdr:from>
    <xdr:ext cx="104775" cy="163419"/>
    <xdr:sp macro="" textlink="">
      <xdr:nvSpPr>
        <xdr:cNvPr id="27" name="Text Box 1">
          <a:extLst>
            <a:ext uri="{FF2B5EF4-FFF2-40B4-BE49-F238E27FC236}">
              <a16:creationId xmlns="" xmlns:a16="http://schemas.microsoft.com/office/drawing/2014/main" id="{00000000-0008-0000-0000-00001B000000}"/>
            </a:ext>
          </a:extLst>
        </xdr:cNvPr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750</xdr:row>
      <xdr:rowOff>0</xdr:rowOff>
    </xdr:from>
    <xdr:ext cx="104775" cy="163419"/>
    <xdr:sp macro="" textlink="">
      <xdr:nvSpPr>
        <xdr:cNvPr id="28" name="Text Box 1">
          <a:extLst>
            <a:ext uri="{FF2B5EF4-FFF2-40B4-BE49-F238E27FC236}">
              <a16:creationId xmlns="" xmlns:a16="http://schemas.microsoft.com/office/drawing/2014/main" id="{00000000-0008-0000-0000-00001C000000}"/>
            </a:ext>
          </a:extLst>
        </xdr:cNvPr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750</xdr:row>
      <xdr:rowOff>0</xdr:rowOff>
    </xdr:from>
    <xdr:ext cx="104775" cy="163419"/>
    <xdr:sp macro="" textlink="">
      <xdr:nvSpPr>
        <xdr:cNvPr id="29" name="Text Box 1">
          <a:extLst>
            <a:ext uri="{FF2B5EF4-FFF2-40B4-BE49-F238E27FC236}">
              <a16:creationId xmlns="" xmlns:a16="http://schemas.microsoft.com/office/drawing/2014/main" id="{00000000-0008-0000-0000-00001D000000}"/>
            </a:ext>
          </a:extLst>
        </xdr:cNvPr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750</xdr:row>
      <xdr:rowOff>0</xdr:rowOff>
    </xdr:from>
    <xdr:ext cx="104775" cy="163419"/>
    <xdr:sp macro="" textlink="">
      <xdr:nvSpPr>
        <xdr:cNvPr id="30" name="Text Box 1">
          <a:extLst>
            <a:ext uri="{FF2B5EF4-FFF2-40B4-BE49-F238E27FC236}">
              <a16:creationId xmlns="" xmlns:a16="http://schemas.microsoft.com/office/drawing/2014/main" id="{00000000-0008-0000-0000-00001E000000}"/>
            </a:ext>
          </a:extLst>
        </xdr:cNvPr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750</xdr:row>
      <xdr:rowOff>0</xdr:rowOff>
    </xdr:from>
    <xdr:ext cx="104775" cy="163419"/>
    <xdr:sp macro="" textlink="">
      <xdr:nvSpPr>
        <xdr:cNvPr id="31" name="Text Box 1">
          <a:extLst>
            <a:ext uri="{FF2B5EF4-FFF2-40B4-BE49-F238E27FC236}">
              <a16:creationId xmlns="" xmlns:a16="http://schemas.microsoft.com/office/drawing/2014/main" id="{00000000-0008-0000-0000-00001F000000}"/>
            </a:ext>
          </a:extLst>
        </xdr:cNvPr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750</xdr:row>
      <xdr:rowOff>0</xdr:rowOff>
    </xdr:from>
    <xdr:ext cx="104775" cy="163419"/>
    <xdr:sp macro="" textlink="">
      <xdr:nvSpPr>
        <xdr:cNvPr id="32" name="Text Box 1">
          <a:extLst>
            <a:ext uri="{FF2B5EF4-FFF2-40B4-BE49-F238E27FC236}">
              <a16:creationId xmlns="" xmlns:a16="http://schemas.microsoft.com/office/drawing/2014/main" id="{00000000-0008-0000-0000-000020000000}"/>
            </a:ext>
          </a:extLst>
        </xdr:cNvPr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750</xdr:row>
      <xdr:rowOff>0</xdr:rowOff>
    </xdr:from>
    <xdr:ext cx="104775" cy="163419"/>
    <xdr:sp macro="" textlink="">
      <xdr:nvSpPr>
        <xdr:cNvPr id="33" name="Text Box 1">
          <a:extLst>
            <a:ext uri="{FF2B5EF4-FFF2-40B4-BE49-F238E27FC236}">
              <a16:creationId xmlns="" xmlns:a16="http://schemas.microsoft.com/office/drawing/2014/main" id="{00000000-0008-0000-0000-000021000000}"/>
            </a:ext>
          </a:extLst>
        </xdr:cNvPr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750</xdr:row>
      <xdr:rowOff>0</xdr:rowOff>
    </xdr:from>
    <xdr:ext cx="104775" cy="163419"/>
    <xdr:sp macro="" textlink="">
      <xdr:nvSpPr>
        <xdr:cNvPr id="34" name="Text Box 1">
          <a:extLst>
            <a:ext uri="{FF2B5EF4-FFF2-40B4-BE49-F238E27FC236}">
              <a16:creationId xmlns="" xmlns:a16="http://schemas.microsoft.com/office/drawing/2014/main" id="{00000000-0008-0000-0000-000022000000}"/>
            </a:ext>
          </a:extLst>
        </xdr:cNvPr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750</xdr:row>
      <xdr:rowOff>0</xdr:rowOff>
    </xdr:from>
    <xdr:ext cx="104775" cy="163419"/>
    <xdr:sp macro="" textlink="">
      <xdr:nvSpPr>
        <xdr:cNvPr id="35" name="Text Box 1">
          <a:extLst>
            <a:ext uri="{FF2B5EF4-FFF2-40B4-BE49-F238E27FC236}">
              <a16:creationId xmlns="" xmlns:a16="http://schemas.microsoft.com/office/drawing/2014/main" id="{00000000-0008-0000-0000-000023000000}"/>
            </a:ext>
          </a:extLst>
        </xdr:cNvPr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750</xdr:row>
      <xdr:rowOff>0</xdr:rowOff>
    </xdr:from>
    <xdr:ext cx="104775" cy="163419"/>
    <xdr:sp macro="" textlink="">
      <xdr:nvSpPr>
        <xdr:cNvPr id="36" name="Text Box 1">
          <a:extLst>
            <a:ext uri="{FF2B5EF4-FFF2-40B4-BE49-F238E27FC236}">
              <a16:creationId xmlns="" xmlns:a16="http://schemas.microsoft.com/office/drawing/2014/main" id="{00000000-0008-0000-0000-000024000000}"/>
            </a:ext>
          </a:extLst>
        </xdr:cNvPr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750</xdr:row>
      <xdr:rowOff>0</xdr:rowOff>
    </xdr:from>
    <xdr:ext cx="104775" cy="163419"/>
    <xdr:sp macro="" textlink="">
      <xdr:nvSpPr>
        <xdr:cNvPr id="37" name="Text Box 1">
          <a:extLst>
            <a:ext uri="{FF2B5EF4-FFF2-40B4-BE49-F238E27FC236}">
              <a16:creationId xmlns="" xmlns:a16="http://schemas.microsoft.com/office/drawing/2014/main" id="{00000000-0008-0000-0000-000025000000}"/>
            </a:ext>
          </a:extLst>
        </xdr:cNvPr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750</xdr:row>
      <xdr:rowOff>0</xdr:rowOff>
    </xdr:from>
    <xdr:ext cx="104775" cy="163419"/>
    <xdr:sp macro="" textlink="">
      <xdr:nvSpPr>
        <xdr:cNvPr id="38" name="Text Box 1">
          <a:extLst>
            <a:ext uri="{FF2B5EF4-FFF2-40B4-BE49-F238E27FC236}">
              <a16:creationId xmlns="" xmlns:a16="http://schemas.microsoft.com/office/drawing/2014/main" id="{00000000-0008-0000-0000-000026000000}"/>
            </a:ext>
          </a:extLst>
        </xdr:cNvPr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750</xdr:row>
      <xdr:rowOff>0</xdr:rowOff>
    </xdr:from>
    <xdr:ext cx="104775" cy="163419"/>
    <xdr:sp macro="" textlink="">
      <xdr:nvSpPr>
        <xdr:cNvPr id="39" name="Text Box 1">
          <a:extLst>
            <a:ext uri="{FF2B5EF4-FFF2-40B4-BE49-F238E27FC236}">
              <a16:creationId xmlns="" xmlns:a16="http://schemas.microsoft.com/office/drawing/2014/main" id="{00000000-0008-0000-0000-000027000000}"/>
            </a:ext>
          </a:extLst>
        </xdr:cNvPr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750</xdr:row>
      <xdr:rowOff>0</xdr:rowOff>
    </xdr:from>
    <xdr:ext cx="104775" cy="163419"/>
    <xdr:sp macro="" textlink="">
      <xdr:nvSpPr>
        <xdr:cNvPr id="40" name="Text Box 1">
          <a:extLst>
            <a:ext uri="{FF2B5EF4-FFF2-40B4-BE49-F238E27FC236}">
              <a16:creationId xmlns="" xmlns:a16="http://schemas.microsoft.com/office/drawing/2014/main" id="{00000000-0008-0000-0000-000028000000}"/>
            </a:ext>
          </a:extLst>
        </xdr:cNvPr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750</xdr:row>
      <xdr:rowOff>0</xdr:rowOff>
    </xdr:from>
    <xdr:ext cx="104775" cy="163419"/>
    <xdr:sp macro="" textlink="">
      <xdr:nvSpPr>
        <xdr:cNvPr id="41" name="Text Box 1">
          <a:extLst>
            <a:ext uri="{FF2B5EF4-FFF2-40B4-BE49-F238E27FC236}">
              <a16:creationId xmlns="" xmlns:a16="http://schemas.microsoft.com/office/drawing/2014/main" id="{00000000-0008-0000-0000-000029000000}"/>
            </a:ext>
          </a:extLst>
        </xdr:cNvPr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750</xdr:row>
      <xdr:rowOff>0</xdr:rowOff>
    </xdr:from>
    <xdr:ext cx="104775" cy="163419"/>
    <xdr:sp macro="" textlink="">
      <xdr:nvSpPr>
        <xdr:cNvPr id="42" name="Text Box 1">
          <a:extLst>
            <a:ext uri="{FF2B5EF4-FFF2-40B4-BE49-F238E27FC236}">
              <a16:creationId xmlns="" xmlns:a16="http://schemas.microsoft.com/office/drawing/2014/main" id="{00000000-0008-0000-0000-00002A000000}"/>
            </a:ext>
          </a:extLst>
        </xdr:cNvPr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750</xdr:row>
      <xdr:rowOff>0</xdr:rowOff>
    </xdr:from>
    <xdr:ext cx="104775" cy="163419"/>
    <xdr:sp macro="" textlink="">
      <xdr:nvSpPr>
        <xdr:cNvPr id="43" name="Text Box 1">
          <a:extLst>
            <a:ext uri="{FF2B5EF4-FFF2-40B4-BE49-F238E27FC236}">
              <a16:creationId xmlns="" xmlns:a16="http://schemas.microsoft.com/office/drawing/2014/main" id="{00000000-0008-0000-0000-00002B000000}"/>
            </a:ext>
          </a:extLst>
        </xdr:cNvPr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750</xdr:row>
      <xdr:rowOff>0</xdr:rowOff>
    </xdr:from>
    <xdr:ext cx="104775" cy="163419"/>
    <xdr:sp macro="" textlink="">
      <xdr:nvSpPr>
        <xdr:cNvPr id="44" name="Text Box 1">
          <a:extLst>
            <a:ext uri="{FF2B5EF4-FFF2-40B4-BE49-F238E27FC236}">
              <a16:creationId xmlns="" xmlns:a16="http://schemas.microsoft.com/office/drawing/2014/main" id="{00000000-0008-0000-0000-00002C000000}"/>
            </a:ext>
          </a:extLst>
        </xdr:cNvPr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750</xdr:row>
      <xdr:rowOff>0</xdr:rowOff>
    </xdr:from>
    <xdr:ext cx="104775" cy="163419"/>
    <xdr:sp macro="" textlink="">
      <xdr:nvSpPr>
        <xdr:cNvPr id="45" name="Text Box 1">
          <a:extLst>
            <a:ext uri="{FF2B5EF4-FFF2-40B4-BE49-F238E27FC236}">
              <a16:creationId xmlns="" xmlns:a16="http://schemas.microsoft.com/office/drawing/2014/main" id="{00000000-0008-0000-0000-00002D000000}"/>
            </a:ext>
          </a:extLst>
        </xdr:cNvPr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750</xdr:row>
      <xdr:rowOff>0</xdr:rowOff>
    </xdr:from>
    <xdr:ext cx="104775" cy="163419"/>
    <xdr:sp macro="" textlink="">
      <xdr:nvSpPr>
        <xdr:cNvPr id="46" name="Text Box 1">
          <a:extLst>
            <a:ext uri="{FF2B5EF4-FFF2-40B4-BE49-F238E27FC236}">
              <a16:creationId xmlns="" xmlns:a16="http://schemas.microsoft.com/office/drawing/2014/main" id="{00000000-0008-0000-0000-00002E000000}"/>
            </a:ext>
          </a:extLst>
        </xdr:cNvPr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750</xdr:row>
      <xdr:rowOff>0</xdr:rowOff>
    </xdr:from>
    <xdr:ext cx="104775" cy="163419"/>
    <xdr:sp macro="" textlink="">
      <xdr:nvSpPr>
        <xdr:cNvPr id="47" name="Text Box 1">
          <a:extLst>
            <a:ext uri="{FF2B5EF4-FFF2-40B4-BE49-F238E27FC236}">
              <a16:creationId xmlns="" xmlns:a16="http://schemas.microsoft.com/office/drawing/2014/main" id="{00000000-0008-0000-0000-00002F000000}"/>
            </a:ext>
          </a:extLst>
        </xdr:cNvPr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750</xdr:row>
      <xdr:rowOff>0</xdr:rowOff>
    </xdr:from>
    <xdr:ext cx="104775" cy="163419"/>
    <xdr:sp macro="" textlink="">
      <xdr:nvSpPr>
        <xdr:cNvPr id="48" name="Text Box 1">
          <a:extLst>
            <a:ext uri="{FF2B5EF4-FFF2-40B4-BE49-F238E27FC236}">
              <a16:creationId xmlns="" xmlns:a16="http://schemas.microsoft.com/office/drawing/2014/main" id="{00000000-0008-0000-0000-000030000000}"/>
            </a:ext>
          </a:extLst>
        </xdr:cNvPr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750</xdr:row>
      <xdr:rowOff>0</xdr:rowOff>
    </xdr:from>
    <xdr:ext cx="104775" cy="163419"/>
    <xdr:sp macro="" textlink="">
      <xdr:nvSpPr>
        <xdr:cNvPr id="49" name="Text Box 1">
          <a:extLst>
            <a:ext uri="{FF2B5EF4-FFF2-40B4-BE49-F238E27FC236}">
              <a16:creationId xmlns="" xmlns:a16="http://schemas.microsoft.com/office/drawing/2014/main" id="{00000000-0008-0000-0000-000031000000}"/>
            </a:ext>
          </a:extLst>
        </xdr:cNvPr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750</xdr:row>
      <xdr:rowOff>0</xdr:rowOff>
    </xdr:from>
    <xdr:ext cx="104775" cy="163419"/>
    <xdr:sp macro="" textlink="">
      <xdr:nvSpPr>
        <xdr:cNvPr id="50" name="Text Box 1">
          <a:extLst>
            <a:ext uri="{FF2B5EF4-FFF2-40B4-BE49-F238E27FC236}">
              <a16:creationId xmlns="" xmlns:a16="http://schemas.microsoft.com/office/drawing/2014/main" id="{00000000-0008-0000-0000-000032000000}"/>
            </a:ext>
          </a:extLst>
        </xdr:cNvPr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750</xdr:row>
      <xdr:rowOff>0</xdr:rowOff>
    </xdr:from>
    <xdr:ext cx="104775" cy="163419"/>
    <xdr:sp macro="" textlink="">
      <xdr:nvSpPr>
        <xdr:cNvPr id="51" name="Text Box 1">
          <a:extLst>
            <a:ext uri="{FF2B5EF4-FFF2-40B4-BE49-F238E27FC236}">
              <a16:creationId xmlns="" xmlns:a16="http://schemas.microsoft.com/office/drawing/2014/main" id="{00000000-0008-0000-0000-000033000000}"/>
            </a:ext>
          </a:extLst>
        </xdr:cNvPr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750</xdr:row>
      <xdr:rowOff>0</xdr:rowOff>
    </xdr:from>
    <xdr:ext cx="104775" cy="163419"/>
    <xdr:sp macro="" textlink="">
      <xdr:nvSpPr>
        <xdr:cNvPr id="52" name="Text Box 1">
          <a:extLst>
            <a:ext uri="{FF2B5EF4-FFF2-40B4-BE49-F238E27FC236}">
              <a16:creationId xmlns="" xmlns:a16="http://schemas.microsoft.com/office/drawing/2014/main" id="{00000000-0008-0000-0000-000034000000}"/>
            </a:ext>
          </a:extLst>
        </xdr:cNvPr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750</xdr:row>
      <xdr:rowOff>0</xdr:rowOff>
    </xdr:from>
    <xdr:ext cx="104775" cy="163419"/>
    <xdr:sp macro="" textlink="">
      <xdr:nvSpPr>
        <xdr:cNvPr id="53" name="Text Box 1">
          <a:extLst>
            <a:ext uri="{FF2B5EF4-FFF2-40B4-BE49-F238E27FC236}">
              <a16:creationId xmlns="" xmlns:a16="http://schemas.microsoft.com/office/drawing/2014/main" id="{00000000-0008-0000-0000-000035000000}"/>
            </a:ext>
          </a:extLst>
        </xdr:cNvPr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750</xdr:row>
      <xdr:rowOff>0</xdr:rowOff>
    </xdr:from>
    <xdr:ext cx="104775" cy="163419"/>
    <xdr:sp macro="" textlink="">
      <xdr:nvSpPr>
        <xdr:cNvPr id="54" name="Text Box 1">
          <a:extLst>
            <a:ext uri="{FF2B5EF4-FFF2-40B4-BE49-F238E27FC236}">
              <a16:creationId xmlns="" xmlns:a16="http://schemas.microsoft.com/office/drawing/2014/main" id="{00000000-0008-0000-0000-000036000000}"/>
            </a:ext>
          </a:extLst>
        </xdr:cNvPr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750</xdr:row>
      <xdr:rowOff>0</xdr:rowOff>
    </xdr:from>
    <xdr:ext cx="104775" cy="163419"/>
    <xdr:sp macro="" textlink="">
      <xdr:nvSpPr>
        <xdr:cNvPr id="55" name="Text Box 1">
          <a:extLst>
            <a:ext uri="{FF2B5EF4-FFF2-40B4-BE49-F238E27FC236}">
              <a16:creationId xmlns="" xmlns:a16="http://schemas.microsoft.com/office/drawing/2014/main" id="{00000000-0008-0000-0000-000037000000}"/>
            </a:ext>
          </a:extLst>
        </xdr:cNvPr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750</xdr:row>
      <xdr:rowOff>0</xdr:rowOff>
    </xdr:from>
    <xdr:ext cx="104775" cy="163419"/>
    <xdr:sp macro="" textlink="">
      <xdr:nvSpPr>
        <xdr:cNvPr id="56" name="Text Box 1">
          <a:extLst>
            <a:ext uri="{FF2B5EF4-FFF2-40B4-BE49-F238E27FC236}">
              <a16:creationId xmlns="" xmlns:a16="http://schemas.microsoft.com/office/drawing/2014/main" id="{00000000-0008-0000-0000-000038000000}"/>
            </a:ext>
          </a:extLst>
        </xdr:cNvPr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750</xdr:row>
      <xdr:rowOff>0</xdr:rowOff>
    </xdr:from>
    <xdr:ext cx="104775" cy="163419"/>
    <xdr:sp macro="" textlink="">
      <xdr:nvSpPr>
        <xdr:cNvPr id="57" name="Text Box 1">
          <a:extLst>
            <a:ext uri="{FF2B5EF4-FFF2-40B4-BE49-F238E27FC236}">
              <a16:creationId xmlns="" xmlns:a16="http://schemas.microsoft.com/office/drawing/2014/main" id="{00000000-0008-0000-0000-000039000000}"/>
            </a:ext>
          </a:extLst>
        </xdr:cNvPr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750</xdr:row>
      <xdr:rowOff>0</xdr:rowOff>
    </xdr:from>
    <xdr:ext cx="104775" cy="163419"/>
    <xdr:sp macro="" textlink="">
      <xdr:nvSpPr>
        <xdr:cNvPr id="58" name="Text Box 1">
          <a:extLst>
            <a:ext uri="{FF2B5EF4-FFF2-40B4-BE49-F238E27FC236}">
              <a16:creationId xmlns="" xmlns:a16="http://schemas.microsoft.com/office/drawing/2014/main" id="{00000000-0008-0000-0000-00003A000000}"/>
            </a:ext>
          </a:extLst>
        </xdr:cNvPr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750</xdr:row>
      <xdr:rowOff>0</xdr:rowOff>
    </xdr:from>
    <xdr:ext cx="104775" cy="163419"/>
    <xdr:sp macro="" textlink="">
      <xdr:nvSpPr>
        <xdr:cNvPr id="59" name="Text Box 1">
          <a:extLst>
            <a:ext uri="{FF2B5EF4-FFF2-40B4-BE49-F238E27FC236}">
              <a16:creationId xmlns="" xmlns:a16="http://schemas.microsoft.com/office/drawing/2014/main" id="{00000000-0008-0000-0000-00003B000000}"/>
            </a:ext>
          </a:extLst>
        </xdr:cNvPr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750</xdr:row>
      <xdr:rowOff>0</xdr:rowOff>
    </xdr:from>
    <xdr:ext cx="104775" cy="163419"/>
    <xdr:sp macro="" textlink="">
      <xdr:nvSpPr>
        <xdr:cNvPr id="60" name="Text Box 1">
          <a:extLst>
            <a:ext uri="{FF2B5EF4-FFF2-40B4-BE49-F238E27FC236}">
              <a16:creationId xmlns="" xmlns:a16="http://schemas.microsoft.com/office/drawing/2014/main" id="{00000000-0008-0000-0000-00003C000000}"/>
            </a:ext>
          </a:extLst>
        </xdr:cNvPr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750</xdr:row>
      <xdr:rowOff>0</xdr:rowOff>
    </xdr:from>
    <xdr:ext cx="104775" cy="163419"/>
    <xdr:sp macro="" textlink="">
      <xdr:nvSpPr>
        <xdr:cNvPr id="61" name="Text Box 1">
          <a:extLst>
            <a:ext uri="{FF2B5EF4-FFF2-40B4-BE49-F238E27FC236}">
              <a16:creationId xmlns="" xmlns:a16="http://schemas.microsoft.com/office/drawing/2014/main" id="{00000000-0008-0000-0000-00003D000000}"/>
            </a:ext>
          </a:extLst>
        </xdr:cNvPr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750</xdr:row>
      <xdr:rowOff>0</xdr:rowOff>
    </xdr:from>
    <xdr:ext cx="104775" cy="163419"/>
    <xdr:sp macro="" textlink="">
      <xdr:nvSpPr>
        <xdr:cNvPr id="62" name="Text Box 1">
          <a:extLst>
            <a:ext uri="{FF2B5EF4-FFF2-40B4-BE49-F238E27FC236}">
              <a16:creationId xmlns="" xmlns:a16="http://schemas.microsoft.com/office/drawing/2014/main" id="{00000000-0008-0000-0000-00003E000000}"/>
            </a:ext>
          </a:extLst>
        </xdr:cNvPr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750</xdr:row>
      <xdr:rowOff>0</xdr:rowOff>
    </xdr:from>
    <xdr:ext cx="104775" cy="163419"/>
    <xdr:sp macro="" textlink="">
      <xdr:nvSpPr>
        <xdr:cNvPr id="63" name="Text Box 1">
          <a:extLst>
            <a:ext uri="{FF2B5EF4-FFF2-40B4-BE49-F238E27FC236}">
              <a16:creationId xmlns="" xmlns:a16="http://schemas.microsoft.com/office/drawing/2014/main" id="{00000000-0008-0000-0000-00003F000000}"/>
            </a:ext>
          </a:extLst>
        </xdr:cNvPr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750</xdr:row>
      <xdr:rowOff>0</xdr:rowOff>
    </xdr:from>
    <xdr:ext cx="104775" cy="163419"/>
    <xdr:sp macro="" textlink="">
      <xdr:nvSpPr>
        <xdr:cNvPr id="64" name="Text Box 1">
          <a:extLst>
            <a:ext uri="{FF2B5EF4-FFF2-40B4-BE49-F238E27FC236}">
              <a16:creationId xmlns="" xmlns:a16="http://schemas.microsoft.com/office/drawing/2014/main" id="{00000000-0008-0000-0000-000040000000}"/>
            </a:ext>
          </a:extLst>
        </xdr:cNvPr>
        <xdr:cNvSpPr txBox="1">
          <a:spLocks noChangeArrowheads="1"/>
        </xdr:cNvSpPr>
      </xdr:nvSpPr>
      <xdr:spPr bwMode="auto">
        <a:xfrm>
          <a:off x="266700" y="2902553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750</xdr:row>
      <xdr:rowOff>0</xdr:rowOff>
    </xdr:from>
    <xdr:ext cx="104775" cy="163419"/>
    <xdr:sp macro="" textlink="">
      <xdr:nvSpPr>
        <xdr:cNvPr id="65" name="Text Box 1">
          <a:extLst>
            <a:ext uri="{FF2B5EF4-FFF2-40B4-BE49-F238E27FC236}">
              <a16:creationId xmlns="" xmlns:a16="http://schemas.microsoft.com/office/drawing/2014/main" id="{00000000-0008-0000-0000-000041000000}"/>
            </a:ext>
          </a:extLst>
        </xdr:cNvPr>
        <xdr:cNvSpPr txBox="1">
          <a:spLocks noChangeArrowheads="1"/>
        </xdr:cNvSpPr>
      </xdr:nvSpPr>
      <xdr:spPr bwMode="auto">
        <a:xfrm>
          <a:off x="266700" y="2902553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750</xdr:row>
      <xdr:rowOff>0</xdr:rowOff>
    </xdr:from>
    <xdr:ext cx="104775" cy="163419"/>
    <xdr:sp macro="" textlink="">
      <xdr:nvSpPr>
        <xdr:cNvPr id="66" name="Text Box 1">
          <a:extLst>
            <a:ext uri="{FF2B5EF4-FFF2-40B4-BE49-F238E27FC236}">
              <a16:creationId xmlns="" xmlns:a16="http://schemas.microsoft.com/office/drawing/2014/main" id="{00000000-0008-0000-0000-000042000000}"/>
            </a:ext>
          </a:extLst>
        </xdr:cNvPr>
        <xdr:cNvSpPr txBox="1">
          <a:spLocks noChangeArrowheads="1"/>
        </xdr:cNvSpPr>
      </xdr:nvSpPr>
      <xdr:spPr bwMode="auto">
        <a:xfrm>
          <a:off x="266700" y="2902553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750</xdr:row>
      <xdr:rowOff>0</xdr:rowOff>
    </xdr:from>
    <xdr:ext cx="104775" cy="163419"/>
    <xdr:sp macro="" textlink="">
      <xdr:nvSpPr>
        <xdr:cNvPr id="67" name="Text Box 1">
          <a:extLst>
            <a:ext uri="{FF2B5EF4-FFF2-40B4-BE49-F238E27FC236}">
              <a16:creationId xmlns="" xmlns:a16="http://schemas.microsoft.com/office/drawing/2014/main" id="{00000000-0008-0000-0000-000043000000}"/>
            </a:ext>
          </a:extLst>
        </xdr:cNvPr>
        <xdr:cNvSpPr txBox="1">
          <a:spLocks noChangeArrowheads="1"/>
        </xdr:cNvSpPr>
      </xdr:nvSpPr>
      <xdr:spPr bwMode="auto">
        <a:xfrm>
          <a:off x="266700" y="2902553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750</xdr:row>
      <xdr:rowOff>0</xdr:rowOff>
    </xdr:from>
    <xdr:ext cx="104775" cy="163419"/>
    <xdr:sp macro="" textlink="">
      <xdr:nvSpPr>
        <xdr:cNvPr id="68" name="Text Box 1">
          <a:extLst>
            <a:ext uri="{FF2B5EF4-FFF2-40B4-BE49-F238E27FC236}">
              <a16:creationId xmlns="" xmlns:a16="http://schemas.microsoft.com/office/drawing/2014/main" id="{00000000-0008-0000-0000-000044000000}"/>
            </a:ext>
          </a:extLst>
        </xdr:cNvPr>
        <xdr:cNvSpPr txBox="1">
          <a:spLocks noChangeArrowheads="1"/>
        </xdr:cNvSpPr>
      </xdr:nvSpPr>
      <xdr:spPr bwMode="auto">
        <a:xfrm>
          <a:off x="266700" y="2902553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750</xdr:row>
      <xdr:rowOff>0</xdr:rowOff>
    </xdr:from>
    <xdr:ext cx="104775" cy="163419"/>
    <xdr:sp macro="" textlink="">
      <xdr:nvSpPr>
        <xdr:cNvPr id="69" name="Text Box 1">
          <a:extLst>
            <a:ext uri="{FF2B5EF4-FFF2-40B4-BE49-F238E27FC236}">
              <a16:creationId xmlns="" xmlns:a16="http://schemas.microsoft.com/office/drawing/2014/main" id="{00000000-0008-0000-0000-000045000000}"/>
            </a:ext>
          </a:extLst>
        </xdr:cNvPr>
        <xdr:cNvSpPr txBox="1">
          <a:spLocks noChangeArrowheads="1"/>
        </xdr:cNvSpPr>
      </xdr:nvSpPr>
      <xdr:spPr bwMode="auto">
        <a:xfrm>
          <a:off x="266700" y="2902553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750</xdr:row>
      <xdr:rowOff>0</xdr:rowOff>
    </xdr:from>
    <xdr:ext cx="104775" cy="163419"/>
    <xdr:sp macro="" textlink="">
      <xdr:nvSpPr>
        <xdr:cNvPr id="70" name="Text Box 1">
          <a:extLst>
            <a:ext uri="{FF2B5EF4-FFF2-40B4-BE49-F238E27FC236}">
              <a16:creationId xmlns="" xmlns:a16="http://schemas.microsoft.com/office/drawing/2014/main" id="{00000000-0008-0000-0000-000046000000}"/>
            </a:ext>
          </a:extLst>
        </xdr:cNvPr>
        <xdr:cNvSpPr txBox="1">
          <a:spLocks noChangeArrowheads="1"/>
        </xdr:cNvSpPr>
      </xdr:nvSpPr>
      <xdr:spPr bwMode="auto">
        <a:xfrm>
          <a:off x="266700" y="2902553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750</xdr:row>
      <xdr:rowOff>0</xdr:rowOff>
    </xdr:from>
    <xdr:ext cx="104775" cy="163419"/>
    <xdr:sp macro="" textlink="">
      <xdr:nvSpPr>
        <xdr:cNvPr id="71" name="Text Box 1">
          <a:extLst>
            <a:ext uri="{FF2B5EF4-FFF2-40B4-BE49-F238E27FC236}">
              <a16:creationId xmlns="" xmlns:a16="http://schemas.microsoft.com/office/drawing/2014/main" id="{00000000-0008-0000-0000-000047000000}"/>
            </a:ext>
          </a:extLst>
        </xdr:cNvPr>
        <xdr:cNvSpPr txBox="1">
          <a:spLocks noChangeArrowheads="1"/>
        </xdr:cNvSpPr>
      </xdr:nvSpPr>
      <xdr:spPr bwMode="auto">
        <a:xfrm>
          <a:off x="266700" y="2902553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750</xdr:row>
      <xdr:rowOff>0</xdr:rowOff>
    </xdr:from>
    <xdr:ext cx="104775" cy="163419"/>
    <xdr:sp macro="" textlink="">
      <xdr:nvSpPr>
        <xdr:cNvPr id="72" name="Text Box 1">
          <a:extLst>
            <a:ext uri="{FF2B5EF4-FFF2-40B4-BE49-F238E27FC236}">
              <a16:creationId xmlns="" xmlns:a16="http://schemas.microsoft.com/office/drawing/2014/main" id="{00000000-0008-0000-0000-000048000000}"/>
            </a:ext>
          </a:extLst>
        </xdr:cNvPr>
        <xdr:cNvSpPr txBox="1">
          <a:spLocks noChangeArrowheads="1"/>
        </xdr:cNvSpPr>
      </xdr:nvSpPr>
      <xdr:spPr bwMode="auto">
        <a:xfrm>
          <a:off x="266700" y="2902553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750</xdr:row>
      <xdr:rowOff>0</xdr:rowOff>
    </xdr:from>
    <xdr:ext cx="104775" cy="163419"/>
    <xdr:sp macro="" textlink="">
      <xdr:nvSpPr>
        <xdr:cNvPr id="73" name="Text Box 1">
          <a:extLst>
            <a:ext uri="{FF2B5EF4-FFF2-40B4-BE49-F238E27FC236}">
              <a16:creationId xmlns="" xmlns:a16="http://schemas.microsoft.com/office/drawing/2014/main" id="{00000000-0008-0000-0000-000049000000}"/>
            </a:ext>
          </a:extLst>
        </xdr:cNvPr>
        <xdr:cNvSpPr txBox="1">
          <a:spLocks noChangeArrowheads="1"/>
        </xdr:cNvSpPr>
      </xdr:nvSpPr>
      <xdr:spPr bwMode="auto">
        <a:xfrm>
          <a:off x="266700" y="2902553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750</xdr:row>
      <xdr:rowOff>0</xdr:rowOff>
    </xdr:from>
    <xdr:ext cx="104775" cy="163419"/>
    <xdr:sp macro="" textlink="">
      <xdr:nvSpPr>
        <xdr:cNvPr id="74" name="Text Box 1">
          <a:extLst>
            <a:ext uri="{FF2B5EF4-FFF2-40B4-BE49-F238E27FC236}">
              <a16:creationId xmlns="" xmlns:a16="http://schemas.microsoft.com/office/drawing/2014/main" id="{00000000-0008-0000-0000-00004A000000}"/>
            </a:ext>
          </a:extLst>
        </xdr:cNvPr>
        <xdr:cNvSpPr txBox="1">
          <a:spLocks noChangeArrowheads="1"/>
        </xdr:cNvSpPr>
      </xdr:nvSpPr>
      <xdr:spPr bwMode="auto">
        <a:xfrm>
          <a:off x="266700" y="2902553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750</xdr:row>
      <xdr:rowOff>0</xdr:rowOff>
    </xdr:from>
    <xdr:ext cx="104775" cy="163419"/>
    <xdr:sp macro="" textlink="">
      <xdr:nvSpPr>
        <xdr:cNvPr id="75" name="Text Box 1">
          <a:extLst>
            <a:ext uri="{FF2B5EF4-FFF2-40B4-BE49-F238E27FC236}">
              <a16:creationId xmlns="" xmlns:a16="http://schemas.microsoft.com/office/drawing/2014/main" id="{00000000-0008-0000-0000-00004B000000}"/>
            </a:ext>
          </a:extLst>
        </xdr:cNvPr>
        <xdr:cNvSpPr txBox="1">
          <a:spLocks noChangeArrowheads="1"/>
        </xdr:cNvSpPr>
      </xdr:nvSpPr>
      <xdr:spPr bwMode="auto">
        <a:xfrm>
          <a:off x="266700" y="2902553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750</xdr:row>
      <xdr:rowOff>0</xdr:rowOff>
    </xdr:from>
    <xdr:ext cx="104775" cy="163419"/>
    <xdr:sp macro="" textlink="">
      <xdr:nvSpPr>
        <xdr:cNvPr id="76" name="Text Box 1">
          <a:extLst>
            <a:ext uri="{FF2B5EF4-FFF2-40B4-BE49-F238E27FC236}">
              <a16:creationId xmlns="" xmlns:a16="http://schemas.microsoft.com/office/drawing/2014/main" id="{00000000-0008-0000-0000-00004C000000}"/>
            </a:ext>
          </a:extLst>
        </xdr:cNvPr>
        <xdr:cNvSpPr txBox="1">
          <a:spLocks noChangeArrowheads="1"/>
        </xdr:cNvSpPr>
      </xdr:nvSpPr>
      <xdr:spPr bwMode="auto">
        <a:xfrm>
          <a:off x="266700" y="2902553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750</xdr:row>
      <xdr:rowOff>0</xdr:rowOff>
    </xdr:from>
    <xdr:ext cx="104775" cy="163419"/>
    <xdr:sp macro="" textlink="">
      <xdr:nvSpPr>
        <xdr:cNvPr id="77" name="Text Box 1">
          <a:extLst>
            <a:ext uri="{FF2B5EF4-FFF2-40B4-BE49-F238E27FC236}">
              <a16:creationId xmlns="" xmlns:a16="http://schemas.microsoft.com/office/drawing/2014/main" id="{00000000-0008-0000-0000-00004D000000}"/>
            </a:ext>
          </a:extLst>
        </xdr:cNvPr>
        <xdr:cNvSpPr txBox="1">
          <a:spLocks noChangeArrowheads="1"/>
        </xdr:cNvSpPr>
      </xdr:nvSpPr>
      <xdr:spPr bwMode="auto">
        <a:xfrm>
          <a:off x="266700" y="2902553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750</xdr:row>
      <xdr:rowOff>0</xdr:rowOff>
    </xdr:from>
    <xdr:ext cx="104775" cy="163419"/>
    <xdr:sp macro="" textlink="">
      <xdr:nvSpPr>
        <xdr:cNvPr id="78" name="Text Box 1">
          <a:extLst>
            <a:ext uri="{FF2B5EF4-FFF2-40B4-BE49-F238E27FC236}">
              <a16:creationId xmlns="" xmlns:a16="http://schemas.microsoft.com/office/drawing/2014/main" id="{00000000-0008-0000-0000-00004E000000}"/>
            </a:ext>
          </a:extLst>
        </xdr:cNvPr>
        <xdr:cNvSpPr txBox="1">
          <a:spLocks noChangeArrowheads="1"/>
        </xdr:cNvSpPr>
      </xdr:nvSpPr>
      <xdr:spPr bwMode="auto">
        <a:xfrm>
          <a:off x="266700" y="2902553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750</xdr:row>
      <xdr:rowOff>0</xdr:rowOff>
    </xdr:from>
    <xdr:ext cx="104775" cy="163419"/>
    <xdr:sp macro="" textlink="">
      <xdr:nvSpPr>
        <xdr:cNvPr id="79" name="Text Box 1">
          <a:extLst>
            <a:ext uri="{FF2B5EF4-FFF2-40B4-BE49-F238E27FC236}">
              <a16:creationId xmlns="" xmlns:a16="http://schemas.microsoft.com/office/drawing/2014/main" id="{00000000-0008-0000-0000-00004F000000}"/>
            </a:ext>
          </a:extLst>
        </xdr:cNvPr>
        <xdr:cNvSpPr txBox="1">
          <a:spLocks noChangeArrowheads="1"/>
        </xdr:cNvSpPr>
      </xdr:nvSpPr>
      <xdr:spPr bwMode="auto">
        <a:xfrm>
          <a:off x="266700" y="2902553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750</xdr:row>
      <xdr:rowOff>0</xdr:rowOff>
    </xdr:from>
    <xdr:ext cx="104775" cy="163419"/>
    <xdr:sp macro="" textlink="">
      <xdr:nvSpPr>
        <xdr:cNvPr id="80" name="Text Box 1">
          <a:extLst>
            <a:ext uri="{FF2B5EF4-FFF2-40B4-BE49-F238E27FC236}">
              <a16:creationId xmlns="" xmlns:a16="http://schemas.microsoft.com/office/drawing/2014/main" id="{00000000-0008-0000-0000-000050000000}"/>
            </a:ext>
          </a:extLst>
        </xdr:cNvPr>
        <xdr:cNvSpPr txBox="1">
          <a:spLocks noChangeArrowheads="1"/>
        </xdr:cNvSpPr>
      </xdr:nvSpPr>
      <xdr:spPr bwMode="auto">
        <a:xfrm>
          <a:off x="266700" y="2902553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750</xdr:row>
      <xdr:rowOff>0</xdr:rowOff>
    </xdr:from>
    <xdr:ext cx="104775" cy="163419"/>
    <xdr:sp macro="" textlink="">
      <xdr:nvSpPr>
        <xdr:cNvPr id="81" name="Text Box 1">
          <a:extLst>
            <a:ext uri="{FF2B5EF4-FFF2-40B4-BE49-F238E27FC236}">
              <a16:creationId xmlns="" xmlns:a16="http://schemas.microsoft.com/office/drawing/2014/main" id="{00000000-0008-0000-0000-000051000000}"/>
            </a:ext>
          </a:extLst>
        </xdr:cNvPr>
        <xdr:cNvSpPr txBox="1">
          <a:spLocks noChangeArrowheads="1"/>
        </xdr:cNvSpPr>
      </xdr:nvSpPr>
      <xdr:spPr bwMode="auto">
        <a:xfrm>
          <a:off x="266700" y="2902553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750</xdr:row>
      <xdr:rowOff>0</xdr:rowOff>
    </xdr:from>
    <xdr:ext cx="104775" cy="163419"/>
    <xdr:sp macro="" textlink="">
      <xdr:nvSpPr>
        <xdr:cNvPr id="82" name="Text Box 1">
          <a:extLst>
            <a:ext uri="{FF2B5EF4-FFF2-40B4-BE49-F238E27FC236}">
              <a16:creationId xmlns="" xmlns:a16="http://schemas.microsoft.com/office/drawing/2014/main" id="{00000000-0008-0000-0000-000052000000}"/>
            </a:ext>
          </a:extLst>
        </xdr:cNvPr>
        <xdr:cNvSpPr txBox="1">
          <a:spLocks noChangeArrowheads="1"/>
        </xdr:cNvSpPr>
      </xdr:nvSpPr>
      <xdr:spPr bwMode="auto">
        <a:xfrm>
          <a:off x="266700" y="2902553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750</xdr:row>
      <xdr:rowOff>0</xdr:rowOff>
    </xdr:from>
    <xdr:ext cx="104775" cy="163419"/>
    <xdr:sp macro="" textlink="">
      <xdr:nvSpPr>
        <xdr:cNvPr id="83" name="Text Box 1">
          <a:extLst>
            <a:ext uri="{FF2B5EF4-FFF2-40B4-BE49-F238E27FC236}">
              <a16:creationId xmlns="" xmlns:a16="http://schemas.microsoft.com/office/drawing/2014/main" id="{00000000-0008-0000-0000-000053000000}"/>
            </a:ext>
          </a:extLst>
        </xdr:cNvPr>
        <xdr:cNvSpPr txBox="1">
          <a:spLocks noChangeArrowheads="1"/>
        </xdr:cNvSpPr>
      </xdr:nvSpPr>
      <xdr:spPr bwMode="auto">
        <a:xfrm>
          <a:off x="266700" y="2902553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750</xdr:row>
      <xdr:rowOff>0</xdr:rowOff>
    </xdr:from>
    <xdr:ext cx="104775" cy="163419"/>
    <xdr:sp macro="" textlink="">
      <xdr:nvSpPr>
        <xdr:cNvPr id="84" name="Text Box 1">
          <a:extLst>
            <a:ext uri="{FF2B5EF4-FFF2-40B4-BE49-F238E27FC236}">
              <a16:creationId xmlns="" xmlns:a16="http://schemas.microsoft.com/office/drawing/2014/main" id="{00000000-0008-0000-0000-000054000000}"/>
            </a:ext>
          </a:extLst>
        </xdr:cNvPr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750</xdr:row>
      <xdr:rowOff>0</xdr:rowOff>
    </xdr:from>
    <xdr:ext cx="104775" cy="163419"/>
    <xdr:sp macro="" textlink="">
      <xdr:nvSpPr>
        <xdr:cNvPr id="85" name="Text Box 1">
          <a:extLst>
            <a:ext uri="{FF2B5EF4-FFF2-40B4-BE49-F238E27FC236}">
              <a16:creationId xmlns="" xmlns:a16="http://schemas.microsoft.com/office/drawing/2014/main" id="{00000000-0008-0000-0000-000055000000}"/>
            </a:ext>
          </a:extLst>
        </xdr:cNvPr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750</xdr:row>
      <xdr:rowOff>0</xdr:rowOff>
    </xdr:from>
    <xdr:ext cx="104775" cy="163419"/>
    <xdr:sp macro="" textlink="">
      <xdr:nvSpPr>
        <xdr:cNvPr id="86" name="Text Box 1">
          <a:extLst>
            <a:ext uri="{FF2B5EF4-FFF2-40B4-BE49-F238E27FC236}">
              <a16:creationId xmlns="" xmlns:a16="http://schemas.microsoft.com/office/drawing/2014/main" id="{00000000-0008-0000-0000-000056000000}"/>
            </a:ext>
          </a:extLst>
        </xdr:cNvPr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750</xdr:row>
      <xdr:rowOff>0</xdr:rowOff>
    </xdr:from>
    <xdr:ext cx="104775" cy="163419"/>
    <xdr:sp macro="" textlink="">
      <xdr:nvSpPr>
        <xdr:cNvPr id="87" name="Text Box 1">
          <a:extLst>
            <a:ext uri="{FF2B5EF4-FFF2-40B4-BE49-F238E27FC236}">
              <a16:creationId xmlns="" xmlns:a16="http://schemas.microsoft.com/office/drawing/2014/main" id="{00000000-0008-0000-0000-000057000000}"/>
            </a:ext>
          </a:extLst>
        </xdr:cNvPr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750</xdr:row>
      <xdr:rowOff>0</xdr:rowOff>
    </xdr:from>
    <xdr:ext cx="104775" cy="163419"/>
    <xdr:sp macro="" textlink="">
      <xdr:nvSpPr>
        <xdr:cNvPr id="88" name="Text Box 1">
          <a:extLst>
            <a:ext uri="{FF2B5EF4-FFF2-40B4-BE49-F238E27FC236}">
              <a16:creationId xmlns="" xmlns:a16="http://schemas.microsoft.com/office/drawing/2014/main" id="{00000000-0008-0000-0000-000058000000}"/>
            </a:ext>
          </a:extLst>
        </xdr:cNvPr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750</xdr:row>
      <xdr:rowOff>0</xdr:rowOff>
    </xdr:from>
    <xdr:ext cx="104775" cy="163419"/>
    <xdr:sp macro="" textlink="">
      <xdr:nvSpPr>
        <xdr:cNvPr id="89" name="Text Box 1">
          <a:extLst>
            <a:ext uri="{FF2B5EF4-FFF2-40B4-BE49-F238E27FC236}">
              <a16:creationId xmlns="" xmlns:a16="http://schemas.microsoft.com/office/drawing/2014/main" id="{00000000-0008-0000-0000-000059000000}"/>
            </a:ext>
          </a:extLst>
        </xdr:cNvPr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750</xdr:row>
      <xdr:rowOff>0</xdr:rowOff>
    </xdr:from>
    <xdr:ext cx="104775" cy="163419"/>
    <xdr:sp macro="" textlink="">
      <xdr:nvSpPr>
        <xdr:cNvPr id="90" name="Text Box 1">
          <a:extLst>
            <a:ext uri="{FF2B5EF4-FFF2-40B4-BE49-F238E27FC236}">
              <a16:creationId xmlns="" xmlns:a16="http://schemas.microsoft.com/office/drawing/2014/main" id="{00000000-0008-0000-0000-00005A000000}"/>
            </a:ext>
          </a:extLst>
        </xdr:cNvPr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750</xdr:row>
      <xdr:rowOff>0</xdr:rowOff>
    </xdr:from>
    <xdr:ext cx="104775" cy="163419"/>
    <xdr:sp macro="" textlink="">
      <xdr:nvSpPr>
        <xdr:cNvPr id="91" name="Text Box 1">
          <a:extLst>
            <a:ext uri="{FF2B5EF4-FFF2-40B4-BE49-F238E27FC236}">
              <a16:creationId xmlns="" xmlns:a16="http://schemas.microsoft.com/office/drawing/2014/main" id="{00000000-0008-0000-0000-00005B000000}"/>
            </a:ext>
          </a:extLst>
        </xdr:cNvPr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750</xdr:row>
      <xdr:rowOff>0</xdr:rowOff>
    </xdr:from>
    <xdr:ext cx="104775" cy="163419"/>
    <xdr:sp macro="" textlink="">
      <xdr:nvSpPr>
        <xdr:cNvPr id="92" name="Text Box 1">
          <a:extLst>
            <a:ext uri="{FF2B5EF4-FFF2-40B4-BE49-F238E27FC236}">
              <a16:creationId xmlns="" xmlns:a16="http://schemas.microsoft.com/office/drawing/2014/main" id="{00000000-0008-0000-0000-00005C000000}"/>
            </a:ext>
          </a:extLst>
        </xdr:cNvPr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750</xdr:row>
      <xdr:rowOff>0</xdr:rowOff>
    </xdr:from>
    <xdr:ext cx="104775" cy="163419"/>
    <xdr:sp macro="" textlink="">
      <xdr:nvSpPr>
        <xdr:cNvPr id="93" name="Text Box 1">
          <a:extLst>
            <a:ext uri="{FF2B5EF4-FFF2-40B4-BE49-F238E27FC236}">
              <a16:creationId xmlns="" xmlns:a16="http://schemas.microsoft.com/office/drawing/2014/main" id="{00000000-0008-0000-0000-00005D000000}"/>
            </a:ext>
          </a:extLst>
        </xdr:cNvPr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750</xdr:row>
      <xdr:rowOff>0</xdr:rowOff>
    </xdr:from>
    <xdr:ext cx="104775" cy="163419"/>
    <xdr:sp macro="" textlink="">
      <xdr:nvSpPr>
        <xdr:cNvPr id="94" name="Text Box 1">
          <a:extLst>
            <a:ext uri="{FF2B5EF4-FFF2-40B4-BE49-F238E27FC236}">
              <a16:creationId xmlns="" xmlns:a16="http://schemas.microsoft.com/office/drawing/2014/main" id="{00000000-0008-0000-0000-00005E000000}"/>
            </a:ext>
          </a:extLst>
        </xdr:cNvPr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750</xdr:row>
      <xdr:rowOff>0</xdr:rowOff>
    </xdr:from>
    <xdr:ext cx="104775" cy="163419"/>
    <xdr:sp macro="" textlink="">
      <xdr:nvSpPr>
        <xdr:cNvPr id="95" name="Text Box 1">
          <a:extLst>
            <a:ext uri="{FF2B5EF4-FFF2-40B4-BE49-F238E27FC236}">
              <a16:creationId xmlns="" xmlns:a16="http://schemas.microsoft.com/office/drawing/2014/main" id="{00000000-0008-0000-0000-00005F000000}"/>
            </a:ext>
          </a:extLst>
        </xdr:cNvPr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750</xdr:row>
      <xdr:rowOff>0</xdr:rowOff>
    </xdr:from>
    <xdr:ext cx="104775" cy="163419"/>
    <xdr:sp macro="" textlink="">
      <xdr:nvSpPr>
        <xdr:cNvPr id="96" name="Text Box 1">
          <a:extLst>
            <a:ext uri="{FF2B5EF4-FFF2-40B4-BE49-F238E27FC236}">
              <a16:creationId xmlns="" xmlns:a16="http://schemas.microsoft.com/office/drawing/2014/main" id="{00000000-0008-0000-0000-000060000000}"/>
            </a:ext>
          </a:extLst>
        </xdr:cNvPr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750</xdr:row>
      <xdr:rowOff>0</xdr:rowOff>
    </xdr:from>
    <xdr:ext cx="104775" cy="163419"/>
    <xdr:sp macro="" textlink="">
      <xdr:nvSpPr>
        <xdr:cNvPr id="97" name="Text Box 1">
          <a:extLst>
            <a:ext uri="{FF2B5EF4-FFF2-40B4-BE49-F238E27FC236}">
              <a16:creationId xmlns="" xmlns:a16="http://schemas.microsoft.com/office/drawing/2014/main" id="{00000000-0008-0000-0000-000061000000}"/>
            </a:ext>
          </a:extLst>
        </xdr:cNvPr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750</xdr:row>
      <xdr:rowOff>0</xdr:rowOff>
    </xdr:from>
    <xdr:ext cx="104775" cy="163419"/>
    <xdr:sp macro="" textlink="">
      <xdr:nvSpPr>
        <xdr:cNvPr id="98" name="Text Box 1">
          <a:extLst>
            <a:ext uri="{FF2B5EF4-FFF2-40B4-BE49-F238E27FC236}">
              <a16:creationId xmlns="" xmlns:a16="http://schemas.microsoft.com/office/drawing/2014/main" id="{00000000-0008-0000-0000-000062000000}"/>
            </a:ext>
          </a:extLst>
        </xdr:cNvPr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750</xdr:row>
      <xdr:rowOff>0</xdr:rowOff>
    </xdr:from>
    <xdr:ext cx="104775" cy="163419"/>
    <xdr:sp macro="" textlink="">
      <xdr:nvSpPr>
        <xdr:cNvPr id="99" name="Text Box 1">
          <a:extLst>
            <a:ext uri="{FF2B5EF4-FFF2-40B4-BE49-F238E27FC236}">
              <a16:creationId xmlns="" xmlns:a16="http://schemas.microsoft.com/office/drawing/2014/main" id="{00000000-0008-0000-0000-000063000000}"/>
            </a:ext>
          </a:extLst>
        </xdr:cNvPr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750</xdr:row>
      <xdr:rowOff>0</xdr:rowOff>
    </xdr:from>
    <xdr:ext cx="104775" cy="163419"/>
    <xdr:sp macro="" textlink="">
      <xdr:nvSpPr>
        <xdr:cNvPr id="100" name="Text Box 1">
          <a:extLst>
            <a:ext uri="{FF2B5EF4-FFF2-40B4-BE49-F238E27FC236}">
              <a16:creationId xmlns="" xmlns:a16="http://schemas.microsoft.com/office/drawing/2014/main" id="{00000000-0008-0000-0000-000064000000}"/>
            </a:ext>
          </a:extLst>
        </xdr:cNvPr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750</xdr:row>
      <xdr:rowOff>0</xdr:rowOff>
    </xdr:from>
    <xdr:ext cx="104775" cy="163419"/>
    <xdr:sp macro="" textlink="">
      <xdr:nvSpPr>
        <xdr:cNvPr id="101" name="Text Box 1">
          <a:extLst>
            <a:ext uri="{FF2B5EF4-FFF2-40B4-BE49-F238E27FC236}">
              <a16:creationId xmlns="" xmlns:a16="http://schemas.microsoft.com/office/drawing/2014/main" id="{00000000-0008-0000-0000-000065000000}"/>
            </a:ext>
          </a:extLst>
        </xdr:cNvPr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750</xdr:row>
      <xdr:rowOff>0</xdr:rowOff>
    </xdr:from>
    <xdr:ext cx="104775" cy="163419"/>
    <xdr:sp macro="" textlink="">
      <xdr:nvSpPr>
        <xdr:cNvPr id="102" name="Text Box 1">
          <a:extLst>
            <a:ext uri="{FF2B5EF4-FFF2-40B4-BE49-F238E27FC236}">
              <a16:creationId xmlns="" xmlns:a16="http://schemas.microsoft.com/office/drawing/2014/main" id="{00000000-0008-0000-0000-000066000000}"/>
            </a:ext>
          </a:extLst>
        </xdr:cNvPr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750</xdr:row>
      <xdr:rowOff>0</xdr:rowOff>
    </xdr:from>
    <xdr:ext cx="104775" cy="163419"/>
    <xdr:sp macro="" textlink="">
      <xdr:nvSpPr>
        <xdr:cNvPr id="103" name="Text Box 1">
          <a:extLst>
            <a:ext uri="{FF2B5EF4-FFF2-40B4-BE49-F238E27FC236}">
              <a16:creationId xmlns="" xmlns:a16="http://schemas.microsoft.com/office/drawing/2014/main" id="{00000000-0008-0000-0000-000067000000}"/>
            </a:ext>
          </a:extLst>
        </xdr:cNvPr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750</xdr:row>
      <xdr:rowOff>0</xdr:rowOff>
    </xdr:from>
    <xdr:ext cx="104775" cy="163419"/>
    <xdr:sp macro="" textlink="">
      <xdr:nvSpPr>
        <xdr:cNvPr id="104" name="Text Box 1">
          <a:extLst>
            <a:ext uri="{FF2B5EF4-FFF2-40B4-BE49-F238E27FC236}">
              <a16:creationId xmlns="" xmlns:a16="http://schemas.microsoft.com/office/drawing/2014/main" id="{00000000-0008-0000-0000-000068000000}"/>
            </a:ext>
          </a:extLst>
        </xdr:cNvPr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750</xdr:row>
      <xdr:rowOff>0</xdr:rowOff>
    </xdr:from>
    <xdr:ext cx="104775" cy="163419"/>
    <xdr:sp macro="" textlink="">
      <xdr:nvSpPr>
        <xdr:cNvPr id="105" name="Text Box 1">
          <a:extLst>
            <a:ext uri="{FF2B5EF4-FFF2-40B4-BE49-F238E27FC236}">
              <a16:creationId xmlns="" xmlns:a16="http://schemas.microsoft.com/office/drawing/2014/main" id="{00000000-0008-0000-0000-000069000000}"/>
            </a:ext>
          </a:extLst>
        </xdr:cNvPr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750</xdr:row>
      <xdr:rowOff>0</xdr:rowOff>
    </xdr:from>
    <xdr:ext cx="104775" cy="163419"/>
    <xdr:sp macro="" textlink="">
      <xdr:nvSpPr>
        <xdr:cNvPr id="106" name="Text Box 1">
          <a:extLst>
            <a:ext uri="{FF2B5EF4-FFF2-40B4-BE49-F238E27FC236}">
              <a16:creationId xmlns="" xmlns:a16="http://schemas.microsoft.com/office/drawing/2014/main" id="{00000000-0008-0000-0000-00006A000000}"/>
            </a:ext>
          </a:extLst>
        </xdr:cNvPr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750</xdr:row>
      <xdr:rowOff>0</xdr:rowOff>
    </xdr:from>
    <xdr:ext cx="104775" cy="163419"/>
    <xdr:sp macro="" textlink="">
      <xdr:nvSpPr>
        <xdr:cNvPr id="107" name="Text Box 1">
          <a:extLst>
            <a:ext uri="{FF2B5EF4-FFF2-40B4-BE49-F238E27FC236}">
              <a16:creationId xmlns="" xmlns:a16="http://schemas.microsoft.com/office/drawing/2014/main" id="{00000000-0008-0000-0000-00006B000000}"/>
            </a:ext>
          </a:extLst>
        </xdr:cNvPr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750</xdr:row>
      <xdr:rowOff>0</xdr:rowOff>
    </xdr:from>
    <xdr:ext cx="104775" cy="163419"/>
    <xdr:sp macro="" textlink="">
      <xdr:nvSpPr>
        <xdr:cNvPr id="108" name="Text Box 1">
          <a:extLst>
            <a:ext uri="{FF2B5EF4-FFF2-40B4-BE49-F238E27FC236}">
              <a16:creationId xmlns="" xmlns:a16="http://schemas.microsoft.com/office/drawing/2014/main" id="{00000000-0008-0000-0000-00006C000000}"/>
            </a:ext>
          </a:extLst>
        </xdr:cNvPr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750</xdr:row>
      <xdr:rowOff>0</xdr:rowOff>
    </xdr:from>
    <xdr:ext cx="104775" cy="163419"/>
    <xdr:sp macro="" textlink="">
      <xdr:nvSpPr>
        <xdr:cNvPr id="109" name="Text Box 1">
          <a:extLst>
            <a:ext uri="{FF2B5EF4-FFF2-40B4-BE49-F238E27FC236}">
              <a16:creationId xmlns="" xmlns:a16="http://schemas.microsoft.com/office/drawing/2014/main" id="{00000000-0008-0000-0000-00006D000000}"/>
            </a:ext>
          </a:extLst>
        </xdr:cNvPr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750</xdr:row>
      <xdr:rowOff>0</xdr:rowOff>
    </xdr:from>
    <xdr:ext cx="104775" cy="163419"/>
    <xdr:sp macro="" textlink="">
      <xdr:nvSpPr>
        <xdr:cNvPr id="110" name="Text Box 1">
          <a:extLst>
            <a:ext uri="{FF2B5EF4-FFF2-40B4-BE49-F238E27FC236}">
              <a16:creationId xmlns="" xmlns:a16="http://schemas.microsoft.com/office/drawing/2014/main" id="{00000000-0008-0000-0000-00006E000000}"/>
            </a:ext>
          </a:extLst>
        </xdr:cNvPr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750</xdr:row>
      <xdr:rowOff>0</xdr:rowOff>
    </xdr:from>
    <xdr:ext cx="104775" cy="163419"/>
    <xdr:sp macro="" textlink="">
      <xdr:nvSpPr>
        <xdr:cNvPr id="111" name="Text Box 1">
          <a:extLst>
            <a:ext uri="{FF2B5EF4-FFF2-40B4-BE49-F238E27FC236}">
              <a16:creationId xmlns="" xmlns:a16="http://schemas.microsoft.com/office/drawing/2014/main" id="{00000000-0008-0000-0000-00006F000000}"/>
            </a:ext>
          </a:extLst>
        </xdr:cNvPr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750</xdr:row>
      <xdr:rowOff>0</xdr:rowOff>
    </xdr:from>
    <xdr:ext cx="104775" cy="163419"/>
    <xdr:sp macro="" textlink="">
      <xdr:nvSpPr>
        <xdr:cNvPr id="112" name="Text Box 1">
          <a:extLst>
            <a:ext uri="{FF2B5EF4-FFF2-40B4-BE49-F238E27FC236}">
              <a16:creationId xmlns="" xmlns:a16="http://schemas.microsoft.com/office/drawing/2014/main" id="{00000000-0008-0000-0000-000070000000}"/>
            </a:ext>
          </a:extLst>
        </xdr:cNvPr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750</xdr:row>
      <xdr:rowOff>0</xdr:rowOff>
    </xdr:from>
    <xdr:ext cx="104775" cy="163419"/>
    <xdr:sp macro="" textlink="">
      <xdr:nvSpPr>
        <xdr:cNvPr id="113" name="Text Box 1">
          <a:extLst>
            <a:ext uri="{FF2B5EF4-FFF2-40B4-BE49-F238E27FC236}">
              <a16:creationId xmlns="" xmlns:a16="http://schemas.microsoft.com/office/drawing/2014/main" id="{00000000-0008-0000-0000-000071000000}"/>
            </a:ext>
          </a:extLst>
        </xdr:cNvPr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750</xdr:row>
      <xdr:rowOff>0</xdr:rowOff>
    </xdr:from>
    <xdr:ext cx="104775" cy="163419"/>
    <xdr:sp macro="" textlink="">
      <xdr:nvSpPr>
        <xdr:cNvPr id="114" name="Text Box 1">
          <a:extLst>
            <a:ext uri="{FF2B5EF4-FFF2-40B4-BE49-F238E27FC236}">
              <a16:creationId xmlns="" xmlns:a16="http://schemas.microsoft.com/office/drawing/2014/main" id="{00000000-0008-0000-0000-000072000000}"/>
            </a:ext>
          </a:extLst>
        </xdr:cNvPr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750</xdr:row>
      <xdr:rowOff>0</xdr:rowOff>
    </xdr:from>
    <xdr:ext cx="104775" cy="163419"/>
    <xdr:sp macro="" textlink="">
      <xdr:nvSpPr>
        <xdr:cNvPr id="115" name="Text Box 1">
          <a:extLst>
            <a:ext uri="{FF2B5EF4-FFF2-40B4-BE49-F238E27FC236}">
              <a16:creationId xmlns="" xmlns:a16="http://schemas.microsoft.com/office/drawing/2014/main" id="{00000000-0008-0000-0000-000073000000}"/>
            </a:ext>
          </a:extLst>
        </xdr:cNvPr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750</xdr:row>
      <xdr:rowOff>0</xdr:rowOff>
    </xdr:from>
    <xdr:ext cx="104775" cy="163419"/>
    <xdr:sp macro="" textlink="">
      <xdr:nvSpPr>
        <xdr:cNvPr id="116" name="Text Box 1">
          <a:extLst>
            <a:ext uri="{FF2B5EF4-FFF2-40B4-BE49-F238E27FC236}">
              <a16:creationId xmlns="" xmlns:a16="http://schemas.microsoft.com/office/drawing/2014/main" id="{00000000-0008-0000-0000-000074000000}"/>
            </a:ext>
          </a:extLst>
        </xdr:cNvPr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750</xdr:row>
      <xdr:rowOff>0</xdr:rowOff>
    </xdr:from>
    <xdr:ext cx="104775" cy="163419"/>
    <xdr:sp macro="" textlink="">
      <xdr:nvSpPr>
        <xdr:cNvPr id="117" name="Text Box 1">
          <a:extLst>
            <a:ext uri="{FF2B5EF4-FFF2-40B4-BE49-F238E27FC236}">
              <a16:creationId xmlns="" xmlns:a16="http://schemas.microsoft.com/office/drawing/2014/main" id="{00000000-0008-0000-0000-000075000000}"/>
            </a:ext>
          </a:extLst>
        </xdr:cNvPr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750</xdr:row>
      <xdr:rowOff>0</xdr:rowOff>
    </xdr:from>
    <xdr:ext cx="104775" cy="163419"/>
    <xdr:sp macro="" textlink="">
      <xdr:nvSpPr>
        <xdr:cNvPr id="118" name="Text Box 1">
          <a:extLst>
            <a:ext uri="{FF2B5EF4-FFF2-40B4-BE49-F238E27FC236}">
              <a16:creationId xmlns="" xmlns:a16="http://schemas.microsoft.com/office/drawing/2014/main" id="{00000000-0008-0000-0000-000076000000}"/>
            </a:ext>
          </a:extLst>
        </xdr:cNvPr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750</xdr:row>
      <xdr:rowOff>0</xdr:rowOff>
    </xdr:from>
    <xdr:ext cx="104775" cy="163419"/>
    <xdr:sp macro="" textlink="">
      <xdr:nvSpPr>
        <xdr:cNvPr id="119" name="Text Box 1">
          <a:extLst>
            <a:ext uri="{FF2B5EF4-FFF2-40B4-BE49-F238E27FC236}">
              <a16:creationId xmlns="" xmlns:a16="http://schemas.microsoft.com/office/drawing/2014/main" id="{00000000-0008-0000-0000-000077000000}"/>
            </a:ext>
          </a:extLst>
        </xdr:cNvPr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750</xdr:row>
      <xdr:rowOff>0</xdr:rowOff>
    </xdr:from>
    <xdr:ext cx="104775" cy="163419"/>
    <xdr:sp macro="" textlink="">
      <xdr:nvSpPr>
        <xdr:cNvPr id="120" name="Text Box 1">
          <a:extLst>
            <a:ext uri="{FF2B5EF4-FFF2-40B4-BE49-F238E27FC236}">
              <a16:creationId xmlns="" xmlns:a16="http://schemas.microsoft.com/office/drawing/2014/main" id="{00000000-0008-0000-0000-000078000000}"/>
            </a:ext>
          </a:extLst>
        </xdr:cNvPr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750</xdr:row>
      <xdr:rowOff>0</xdr:rowOff>
    </xdr:from>
    <xdr:ext cx="104775" cy="163419"/>
    <xdr:sp macro="" textlink="">
      <xdr:nvSpPr>
        <xdr:cNvPr id="121" name="Text Box 1">
          <a:extLst>
            <a:ext uri="{FF2B5EF4-FFF2-40B4-BE49-F238E27FC236}">
              <a16:creationId xmlns="" xmlns:a16="http://schemas.microsoft.com/office/drawing/2014/main" id="{00000000-0008-0000-0000-000079000000}"/>
            </a:ext>
          </a:extLst>
        </xdr:cNvPr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750</xdr:row>
      <xdr:rowOff>0</xdr:rowOff>
    </xdr:from>
    <xdr:ext cx="104775" cy="163419"/>
    <xdr:sp macro="" textlink="">
      <xdr:nvSpPr>
        <xdr:cNvPr id="122" name="Text Box 1">
          <a:extLst>
            <a:ext uri="{FF2B5EF4-FFF2-40B4-BE49-F238E27FC236}">
              <a16:creationId xmlns="" xmlns:a16="http://schemas.microsoft.com/office/drawing/2014/main" id="{00000000-0008-0000-0000-00007A000000}"/>
            </a:ext>
          </a:extLst>
        </xdr:cNvPr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750</xdr:row>
      <xdr:rowOff>0</xdr:rowOff>
    </xdr:from>
    <xdr:ext cx="104775" cy="163419"/>
    <xdr:sp macro="" textlink="">
      <xdr:nvSpPr>
        <xdr:cNvPr id="123" name="Text Box 1">
          <a:extLst>
            <a:ext uri="{FF2B5EF4-FFF2-40B4-BE49-F238E27FC236}">
              <a16:creationId xmlns="" xmlns:a16="http://schemas.microsoft.com/office/drawing/2014/main" id="{00000000-0008-0000-0000-00007B000000}"/>
            </a:ext>
          </a:extLst>
        </xdr:cNvPr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750</xdr:row>
      <xdr:rowOff>0</xdr:rowOff>
    </xdr:from>
    <xdr:ext cx="104775" cy="163419"/>
    <xdr:sp macro="" textlink="">
      <xdr:nvSpPr>
        <xdr:cNvPr id="124" name="Text Box 1">
          <a:extLst>
            <a:ext uri="{FF2B5EF4-FFF2-40B4-BE49-F238E27FC236}">
              <a16:creationId xmlns="" xmlns:a16="http://schemas.microsoft.com/office/drawing/2014/main" id="{00000000-0008-0000-0000-00007C000000}"/>
            </a:ext>
          </a:extLst>
        </xdr:cNvPr>
        <xdr:cNvSpPr txBox="1">
          <a:spLocks noChangeArrowheads="1"/>
        </xdr:cNvSpPr>
      </xdr:nvSpPr>
      <xdr:spPr bwMode="auto">
        <a:xfrm>
          <a:off x="266700" y="2902553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750</xdr:row>
      <xdr:rowOff>0</xdr:rowOff>
    </xdr:from>
    <xdr:ext cx="104775" cy="163419"/>
    <xdr:sp macro="" textlink="">
      <xdr:nvSpPr>
        <xdr:cNvPr id="125" name="Text Box 1">
          <a:extLst>
            <a:ext uri="{FF2B5EF4-FFF2-40B4-BE49-F238E27FC236}">
              <a16:creationId xmlns="" xmlns:a16="http://schemas.microsoft.com/office/drawing/2014/main" id="{00000000-0008-0000-0000-00007D000000}"/>
            </a:ext>
          </a:extLst>
        </xdr:cNvPr>
        <xdr:cNvSpPr txBox="1">
          <a:spLocks noChangeArrowheads="1"/>
        </xdr:cNvSpPr>
      </xdr:nvSpPr>
      <xdr:spPr bwMode="auto">
        <a:xfrm>
          <a:off x="266700" y="2902553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750</xdr:row>
      <xdr:rowOff>0</xdr:rowOff>
    </xdr:from>
    <xdr:ext cx="104775" cy="163419"/>
    <xdr:sp macro="" textlink="">
      <xdr:nvSpPr>
        <xdr:cNvPr id="126" name="Text Box 1">
          <a:extLst>
            <a:ext uri="{FF2B5EF4-FFF2-40B4-BE49-F238E27FC236}">
              <a16:creationId xmlns="" xmlns:a16="http://schemas.microsoft.com/office/drawing/2014/main" id="{00000000-0008-0000-0000-00007E000000}"/>
            </a:ext>
          </a:extLst>
        </xdr:cNvPr>
        <xdr:cNvSpPr txBox="1">
          <a:spLocks noChangeArrowheads="1"/>
        </xdr:cNvSpPr>
      </xdr:nvSpPr>
      <xdr:spPr bwMode="auto">
        <a:xfrm>
          <a:off x="266700" y="2902553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750</xdr:row>
      <xdr:rowOff>0</xdr:rowOff>
    </xdr:from>
    <xdr:ext cx="104775" cy="163419"/>
    <xdr:sp macro="" textlink="">
      <xdr:nvSpPr>
        <xdr:cNvPr id="127" name="Text Box 1">
          <a:extLst>
            <a:ext uri="{FF2B5EF4-FFF2-40B4-BE49-F238E27FC236}">
              <a16:creationId xmlns="" xmlns:a16="http://schemas.microsoft.com/office/drawing/2014/main" id="{00000000-0008-0000-0000-00007F000000}"/>
            </a:ext>
          </a:extLst>
        </xdr:cNvPr>
        <xdr:cNvSpPr txBox="1">
          <a:spLocks noChangeArrowheads="1"/>
        </xdr:cNvSpPr>
      </xdr:nvSpPr>
      <xdr:spPr bwMode="auto">
        <a:xfrm>
          <a:off x="266700" y="2902553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750</xdr:row>
      <xdr:rowOff>0</xdr:rowOff>
    </xdr:from>
    <xdr:ext cx="104775" cy="163419"/>
    <xdr:sp macro="" textlink="">
      <xdr:nvSpPr>
        <xdr:cNvPr id="128" name="Text Box 1">
          <a:extLst>
            <a:ext uri="{FF2B5EF4-FFF2-40B4-BE49-F238E27FC236}">
              <a16:creationId xmlns="" xmlns:a16="http://schemas.microsoft.com/office/drawing/2014/main" id="{00000000-0008-0000-0000-000080000000}"/>
            </a:ext>
          </a:extLst>
        </xdr:cNvPr>
        <xdr:cNvSpPr txBox="1">
          <a:spLocks noChangeArrowheads="1"/>
        </xdr:cNvSpPr>
      </xdr:nvSpPr>
      <xdr:spPr bwMode="auto">
        <a:xfrm>
          <a:off x="266700" y="2902553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750</xdr:row>
      <xdr:rowOff>0</xdr:rowOff>
    </xdr:from>
    <xdr:ext cx="104775" cy="163419"/>
    <xdr:sp macro="" textlink="">
      <xdr:nvSpPr>
        <xdr:cNvPr id="129" name="Text Box 1">
          <a:extLst>
            <a:ext uri="{FF2B5EF4-FFF2-40B4-BE49-F238E27FC236}">
              <a16:creationId xmlns="" xmlns:a16="http://schemas.microsoft.com/office/drawing/2014/main" id="{00000000-0008-0000-0000-000081000000}"/>
            </a:ext>
          </a:extLst>
        </xdr:cNvPr>
        <xdr:cNvSpPr txBox="1">
          <a:spLocks noChangeArrowheads="1"/>
        </xdr:cNvSpPr>
      </xdr:nvSpPr>
      <xdr:spPr bwMode="auto">
        <a:xfrm>
          <a:off x="266700" y="2902553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750</xdr:row>
      <xdr:rowOff>0</xdr:rowOff>
    </xdr:from>
    <xdr:ext cx="104775" cy="163419"/>
    <xdr:sp macro="" textlink="">
      <xdr:nvSpPr>
        <xdr:cNvPr id="130" name="Text Box 1">
          <a:extLst>
            <a:ext uri="{FF2B5EF4-FFF2-40B4-BE49-F238E27FC236}">
              <a16:creationId xmlns="" xmlns:a16="http://schemas.microsoft.com/office/drawing/2014/main" id="{00000000-0008-0000-0000-000082000000}"/>
            </a:ext>
          </a:extLst>
        </xdr:cNvPr>
        <xdr:cNvSpPr txBox="1">
          <a:spLocks noChangeArrowheads="1"/>
        </xdr:cNvSpPr>
      </xdr:nvSpPr>
      <xdr:spPr bwMode="auto">
        <a:xfrm>
          <a:off x="266700" y="2902553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750</xdr:row>
      <xdr:rowOff>0</xdr:rowOff>
    </xdr:from>
    <xdr:ext cx="104775" cy="163419"/>
    <xdr:sp macro="" textlink="">
      <xdr:nvSpPr>
        <xdr:cNvPr id="131" name="Text Box 1">
          <a:extLst>
            <a:ext uri="{FF2B5EF4-FFF2-40B4-BE49-F238E27FC236}">
              <a16:creationId xmlns="" xmlns:a16="http://schemas.microsoft.com/office/drawing/2014/main" id="{00000000-0008-0000-0000-000083000000}"/>
            </a:ext>
          </a:extLst>
        </xdr:cNvPr>
        <xdr:cNvSpPr txBox="1">
          <a:spLocks noChangeArrowheads="1"/>
        </xdr:cNvSpPr>
      </xdr:nvSpPr>
      <xdr:spPr bwMode="auto">
        <a:xfrm>
          <a:off x="266700" y="2902553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750</xdr:row>
      <xdr:rowOff>0</xdr:rowOff>
    </xdr:from>
    <xdr:ext cx="104775" cy="163419"/>
    <xdr:sp macro="" textlink="">
      <xdr:nvSpPr>
        <xdr:cNvPr id="132" name="Text Box 1">
          <a:extLst>
            <a:ext uri="{FF2B5EF4-FFF2-40B4-BE49-F238E27FC236}">
              <a16:creationId xmlns="" xmlns:a16="http://schemas.microsoft.com/office/drawing/2014/main" id="{00000000-0008-0000-0000-000084000000}"/>
            </a:ext>
          </a:extLst>
        </xdr:cNvPr>
        <xdr:cNvSpPr txBox="1">
          <a:spLocks noChangeArrowheads="1"/>
        </xdr:cNvSpPr>
      </xdr:nvSpPr>
      <xdr:spPr bwMode="auto">
        <a:xfrm>
          <a:off x="266700" y="2902553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750</xdr:row>
      <xdr:rowOff>0</xdr:rowOff>
    </xdr:from>
    <xdr:ext cx="104775" cy="163419"/>
    <xdr:sp macro="" textlink="">
      <xdr:nvSpPr>
        <xdr:cNvPr id="133" name="Text Box 1">
          <a:extLst>
            <a:ext uri="{FF2B5EF4-FFF2-40B4-BE49-F238E27FC236}">
              <a16:creationId xmlns="" xmlns:a16="http://schemas.microsoft.com/office/drawing/2014/main" id="{00000000-0008-0000-0000-000085000000}"/>
            </a:ext>
          </a:extLst>
        </xdr:cNvPr>
        <xdr:cNvSpPr txBox="1">
          <a:spLocks noChangeArrowheads="1"/>
        </xdr:cNvSpPr>
      </xdr:nvSpPr>
      <xdr:spPr bwMode="auto">
        <a:xfrm>
          <a:off x="266700" y="2902553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750</xdr:row>
      <xdr:rowOff>0</xdr:rowOff>
    </xdr:from>
    <xdr:ext cx="104775" cy="163419"/>
    <xdr:sp macro="" textlink="">
      <xdr:nvSpPr>
        <xdr:cNvPr id="134" name="Text Box 1">
          <a:extLst>
            <a:ext uri="{FF2B5EF4-FFF2-40B4-BE49-F238E27FC236}">
              <a16:creationId xmlns="" xmlns:a16="http://schemas.microsoft.com/office/drawing/2014/main" id="{00000000-0008-0000-0000-000086000000}"/>
            </a:ext>
          </a:extLst>
        </xdr:cNvPr>
        <xdr:cNvSpPr txBox="1">
          <a:spLocks noChangeArrowheads="1"/>
        </xdr:cNvSpPr>
      </xdr:nvSpPr>
      <xdr:spPr bwMode="auto">
        <a:xfrm>
          <a:off x="266700" y="2902553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750</xdr:row>
      <xdr:rowOff>0</xdr:rowOff>
    </xdr:from>
    <xdr:ext cx="104775" cy="163419"/>
    <xdr:sp macro="" textlink="">
      <xdr:nvSpPr>
        <xdr:cNvPr id="135" name="Text Box 1">
          <a:extLst>
            <a:ext uri="{FF2B5EF4-FFF2-40B4-BE49-F238E27FC236}">
              <a16:creationId xmlns="" xmlns:a16="http://schemas.microsoft.com/office/drawing/2014/main" id="{00000000-0008-0000-0000-000087000000}"/>
            </a:ext>
          </a:extLst>
        </xdr:cNvPr>
        <xdr:cNvSpPr txBox="1">
          <a:spLocks noChangeArrowheads="1"/>
        </xdr:cNvSpPr>
      </xdr:nvSpPr>
      <xdr:spPr bwMode="auto">
        <a:xfrm>
          <a:off x="266700" y="2902553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750</xdr:row>
      <xdr:rowOff>0</xdr:rowOff>
    </xdr:from>
    <xdr:ext cx="104775" cy="163419"/>
    <xdr:sp macro="" textlink="">
      <xdr:nvSpPr>
        <xdr:cNvPr id="136" name="Text Box 1">
          <a:extLst>
            <a:ext uri="{FF2B5EF4-FFF2-40B4-BE49-F238E27FC236}">
              <a16:creationId xmlns="" xmlns:a16="http://schemas.microsoft.com/office/drawing/2014/main" id="{00000000-0008-0000-0000-000088000000}"/>
            </a:ext>
          </a:extLst>
        </xdr:cNvPr>
        <xdr:cNvSpPr txBox="1">
          <a:spLocks noChangeArrowheads="1"/>
        </xdr:cNvSpPr>
      </xdr:nvSpPr>
      <xdr:spPr bwMode="auto">
        <a:xfrm>
          <a:off x="266700" y="2902553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750</xdr:row>
      <xdr:rowOff>0</xdr:rowOff>
    </xdr:from>
    <xdr:ext cx="104775" cy="163419"/>
    <xdr:sp macro="" textlink="">
      <xdr:nvSpPr>
        <xdr:cNvPr id="137" name="Text Box 1">
          <a:extLst>
            <a:ext uri="{FF2B5EF4-FFF2-40B4-BE49-F238E27FC236}">
              <a16:creationId xmlns="" xmlns:a16="http://schemas.microsoft.com/office/drawing/2014/main" id="{00000000-0008-0000-0000-000089000000}"/>
            </a:ext>
          </a:extLst>
        </xdr:cNvPr>
        <xdr:cNvSpPr txBox="1">
          <a:spLocks noChangeArrowheads="1"/>
        </xdr:cNvSpPr>
      </xdr:nvSpPr>
      <xdr:spPr bwMode="auto">
        <a:xfrm>
          <a:off x="266700" y="2902553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750</xdr:row>
      <xdr:rowOff>0</xdr:rowOff>
    </xdr:from>
    <xdr:ext cx="104775" cy="163419"/>
    <xdr:sp macro="" textlink="">
      <xdr:nvSpPr>
        <xdr:cNvPr id="138" name="Text Box 1">
          <a:extLst>
            <a:ext uri="{FF2B5EF4-FFF2-40B4-BE49-F238E27FC236}">
              <a16:creationId xmlns="" xmlns:a16="http://schemas.microsoft.com/office/drawing/2014/main" id="{00000000-0008-0000-0000-00008A000000}"/>
            </a:ext>
          </a:extLst>
        </xdr:cNvPr>
        <xdr:cNvSpPr txBox="1">
          <a:spLocks noChangeArrowheads="1"/>
        </xdr:cNvSpPr>
      </xdr:nvSpPr>
      <xdr:spPr bwMode="auto">
        <a:xfrm>
          <a:off x="266700" y="2902553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750</xdr:row>
      <xdr:rowOff>0</xdr:rowOff>
    </xdr:from>
    <xdr:ext cx="104775" cy="163419"/>
    <xdr:sp macro="" textlink="">
      <xdr:nvSpPr>
        <xdr:cNvPr id="139" name="Text Box 1">
          <a:extLst>
            <a:ext uri="{FF2B5EF4-FFF2-40B4-BE49-F238E27FC236}">
              <a16:creationId xmlns="" xmlns:a16="http://schemas.microsoft.com/office/drawing/2014/main" id="{00000000-0008-0000-0000-00008B000000}"/>
            </a:ext>
          </a:extLst>
        </xdr:cNvPr>
        <xdr:cNvSpPr txBox="1">
          <a:spLocks noChangeArrowheads="1"/>
        </xdr:cNvSpPr>
      </xdr:nvSpPr>
      <xdr:spPr bwMode="auto">
        <a:xfrm>
          <a:off x="266700" y="2902553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750</xdr:row>
      <xdr:rowOff>0</xdr:rowOff>
    </xdr:from>
    <xdr:ext cx="104775" cy="163419"/>
    <xdr:sp macro="" textlink="">
      <xdr:nvSpPr>
        <xdr:cNvPr id="140" name="Text Box 1">
          <a:extLst>
            <a:ext uri="{FF2B5EF4-FFF2-40B4-BE49-F238E27FC236}">
              <a16:creationId xmlns="" xmlns:a16="http://schemas.microsoft.com/office/drawing/2014/main" id="{00000000-0008-0000-0000-00008C000000}"/>
            </a:ext>
          </a:extLst>
        </xdr:cNvPr>
        <xdr:cNvSpPr txBox="1">
          <a:spLocks noChangeArrowheads="1"/>
        </xdr:cNvSpPr>
      </xdr:nvSpPr>
      <xdr:spPr bwMode="auto">
        <a:xfrm>
          <a:off x="266700" y="2902553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750</xdr:row>
      <xdr:rowOff>0</xdr:rowOff>
    </xdr:from>
    <xdr:ext cx="104775" cy="163419"/>
    <xdr:sp macro="" textlink="">
      <xdr:nvSpPr>
        <xdr:cNvPr id="141" name="Text Box 1">
          <a:extLst>
            <a:ext uri="{FF2B5EF4-FFF2-40B4-BE49-F238E27FC236}">
              <a16:creationId xmlns="" xmlns:a16="http://schemas.microsoft.com/office/drawing/2014/main" id="{00000000-0008-0000-0000-00008D000000}"/>
            </a:ext>
          </a:extLst>
        </xdr:cNvPr>
        <xdr:cNvSpPr txBox="1">
          <a:spLocks noChangeArrowheads="1"/>
        </xdr:cNvSpPr>
      </xdr:nvSpPr>
      <xdr:spPr bwMode="auto">
        <a:xfrm>
          <a:off x="266700" y="2902553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750</xdr:row>
      <xdr:rowOff>0</xdr:rowOff>
    </xdr:from>
    <xdr:ext cx="104775" cy="163419"/>
    <xdr:sp macro="" textlink="">
      <xdr:nvSpPr>
        <xdr:cNvPr id="142" name="Text Box 1">
          <a:extLst>
            <a:ext uri="{FF2B5EF4-FFF2-40B4-BE49-F238E27FC236}">
              <a16:creationId xmlns="" xmlns:a16="http://schemas.microsoft.com/office/drawing/2014/main" id="{00000000-0008-0000-0000-00008E000000}"/>
            </a:ext>
          </a:extLst>
        </xdr:cNvPr>
        <xdr:cNvSpPr txBox="1">
          <a:spLocks noChangeArrowheads="1"/>
        </xdr:cNvSpPr>
      </xdr:nvSpPr>
      <xdr:spPr bwMode="auto">
        <a:xfrm>
          <a:off x="266700" y="2902553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750</xdr:row>
      <xdr:rowOff>0</xdr:rowOff>
    </xdr:from>
    <xdr:ext cx="104775" cy="163419"/>
    <xdr:sp macro="" textlink="">
      <xdr:nvSpPr>
        <xdr:cNvPr id="143" name="Text Box 1">
          <a:extLst>
            <a:ext uri="{FF2B5EF4-FFF2-40B4-BE49-F238E27FC236}">
              <a16:creationId xmlns="" xmlns:a16="http://schemas.microsoft.com/office/drawing/2014/main" id="{00000000-0008-0000-0000-00008F000000}"/>
            </a:ext>
          </a:extLst>
        </xdr:cNvPr>
        <xdr:cNvSpPr txBox="1">
          <a:spLocks noChangeArrowheads="1"/>
        </xdr:cNvSpPr>
      </xdr:nvSpPr>
      <xdr:spPr bwMode="auto">
        <a:xfrm>
          <a:off x="266700" y="2902553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5</xdr:col>
      <xdr:colOff>0</xdr:colOff>
      <xdr:row>258</xdr:row>
      <xdr:rowOff>188357</xdr:rowOff>
    </xdr:from>
    <xdr:ext cx="45719" cy="45719"/>
    <xdr:sp macro="" textlink="">
      <xdr:nvSpPr>
        <xdr:cNvPr id="144" name="TextBox 143">
          <a:extLst>
            <a:ext uri="{FF2B5EF4-FFF2-40B4-BE49-F238E27FC236}">
              <a16:creationId xmlns="" xmlns:a16="http://schemas.microsoft.com/office/drawing/2014/main" id="{00000000-0008-0000-0000-000090000000}"/>
            </a:ext>
          </a:extLst>
        </xdr:cNvPr>
        <xdr:cNvSpPr txBox="1"/>
      </xdr:nvSpPr>
      <xdr:spPr>
        <a:xfrm flipV="1">
          <a:off x="4762500" y="46860857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258</xdr:row>
      <xdr:rowOff>188357</xdr:rowOff>
    </xdr:from>
    <xdr:ext cx="45719" cy="45719"/>
    <xdr:sp macro="" textlink="">
      <xdr:nvSpPr>
        <xdr:cNvPr id="145" name="TextBox 144">
          <a:extLst>
            <a:ext uri="{FF2B5EF4-FFF2-40B4-BE49-F238E27FC236}">
              <a16:creationId xmlns="" xmlns:a16="http://schemas.microsoft.com/office/drawing/2014/main" id="{00000000-0008-0000-0000-000091000000}"/>
            </a:ext>
          </a:extLst>
        </xdr:cNvPr>
        <xdr:cNvSpPr txBox="1"/>
      </xdr:nvSpPr>
      <xdr:spPr>
        <a:xfrm flipV="1">
          <a:off x="4762500" y="46860857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258</xdr:row>
      <xdr:rowOff>188357</xdr:rowOff>
    </xdr:from>
    <xdr:ext cx="45719" cy="45719"/>
    <xdr:sp macro="" textlink="">
      <xdr:nvSpPr>
        <xdr:cNvPr id="146" name="TextBox 145">
          <a:extLst>
            <a:ext uri="{FF2B5EF4-FFF2-40B4-BE49-F238E27FC236}">
              <a16:creationId xmlns="" xmlns:a16="http://schemas.microsoft.com/office/drawing/2014/main" id="{00000000-0008-0000-0000-000092000000}"/>
            </a:ext>
          </a:extLst>
        </xdr:cNvPr>
        <xdr:cNvSpPr txBox="1"/>
      </xdr:nvSpPr>
      <xdr:spPr>
        <a:xfrm flipV="1">
          <a:off x="4762500" y="46860857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258</xdr:row>
      <xdr:rowOff>188357</xdr:rowOff>
    </xdr:from>
    <xdr:ext cx="45719" cy="45719"/>
    <xdr:sp macro="" textlink="">
      <xdr:nvSpPr>
        <xdr:cNvPr id="147" name="TextBox 146">
          <a:extLst>
            <a:ext uri="{FF2B5EF4-FFF2-40B4-BE49-F238E27FC236}">
              <a16:creationId xmlns="" xmlns:a16="http://schemas.microsoft.com/office/drawing/2014/main" id="{00000000-0008-0000-0000-000093000000}"/>
            </a:ext>
          </a:extLst>
        </xdr:cNvPr>
        <xdr:cNvSpPr txBox="1"/>
      </xdr:nvSpPr>
      <xdr:spPr>
        <a:xfrm flipV="1">
          <a:off x="4762500" y="46860857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0</xdr:colOff>
      <xdr:row>258</xdr:row>
      <xdr:rowOff>188357</xdr:rowOff>
    </xdr:from>
    <xdr:ext cx="45719" cy="45719"/>
    <xdr:sp macro="" textlink="">
      <xdr:nvSpPr>
        <xdr:cNvPr id="148" name="TextBox 147">
          <a:extLst>
            <a:ext uri="{FF2B5EF4-FFF2-40B4-BE49-F238E27FC236}">
              <a16:creationId xmlns="" xmlns:a16="http://schemas.microsoft.com/office/drawing/2014/main" id="{00000000-0008-0000-0000-000094000000}"/>
            </a:ext>
          </a:extLst>
        </xdr:cNvPr>
        <xdr:cNvSpPr txBox="1"/>
      </xdr:nvSpPr>
      <xdr:spPr>
        <a:xfrm flipV="1">
          <a:off x="3838575" y="46860857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0</xdr:colOff>
      <xdr:row>258</xdr:row>
      <xdr:rowOff>188357</xdr:rowOff>
    </xdr:from>
    <xdr:ext cx="45719" cy="45719"/>
    <xdr:sp macro="" textlink="">
      <xdr:nvSpPr>
        <xdr:cNvPr id="149" name="TextBox 148">
          <a:extLst>
            <a:ext uri="{FF2B5EF4-FFF2-40B4-BE49-F238E27FC236}">
              <a16:creationId xmlns="" xmlns:a16="http://schemas.microsoft.com/office/drawing/2014/main" id="{00000000-0008-0000-0000-000095000000}"/>
            </a:ext>
          </a:extLst>
        </xdr:cNvPr>
        <xdr:cNvSpPr txBox="1"/>
      </xdr:nvSpPr>
      <xdr:spPr>
        <a:xfrm flipV="1">
          <a:off x="3838575" y="46860857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0</xdr:colOff>
      <xdr:row>262</xdr:row>
      <xdr:rowOff>188357</xdr:rowOff>
    </xdr:from>
    <xdr:ext cx="45719" cy="45719"/>
    <xdr:sp macro="" textlink="">
      <xdr:nvSpPr>
        <xdr:cNvPr id="150" name="TextBox 149">
          <a:extLst>
            <a:ext uri="{FF2B5EF4-FFF2-40B4-BE49-F238E27FC236}">
              <a16:creationId xmlns="" xmlns:a16="http://schemas.microsoft.com/office/drawing/2014/main" id="{00000000-0008-0000-0000-000096000000}"/>
            </a:ext>
          </a:extLst>
        </xdr:cNvPr>
        <xdr:cNvSpPr txBox="1"/>
      </xdr:nvSpPr>
      <xdr:spPr>
        <a:xfrm flipV="1">
          <a:off x="3800475" y="54280832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0</xdr:colOff>
      <xdr:row>262</xdr:row>
      <xdr:rowOff>188357</xdr:rowOff>
    </xdr:from>
    <xdr:ext cx="45719" cy="45719"/>
    <xdr:sp macro="" textlink="">
      <xdr:nvSpPr>
        <xdr:cNvPr id="151" name="TextBox 150">
          <a:extLst>
            <a:ext uri="{FF2B5EF4-FFF2-40B4-BE49-F238E27FC236}">
              <a16:creationId xmlns="" xmlns:a16="http://schemas.microsoft.com/office/drawing/2014/main" id="{00000000-0008-0000-0000-000097000000}"/>
            </a:ext>
          </a:extLst>
        </xdr:cNvPr>
        <xdr:cNvSpPr txBox="1"/>
      </xdr:nvSpPr>
      <xdr:spPr>
        <a:xfrm flipV="1">
          <a:off x="3800475" y="54280832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0</xdr:colOff>
      <xdr:row>262</xdr:row>
      <xdr:rowOff>188357</xdr:rowOff>
    </xdr:from>
    <xdr:ext cx="45719" cy="45719"/>
    <xdr:sp macro="" textlink="">
      <xdr:nvSpPr>
        <xdr:cNvPr id="152" name="TextBox 151">
          <a:extLst>
            <a:ext uri="{FF2B5EF4-FFF2-40B4-BE49-F238E27FC236}">
              <a16:creationId xmlns="" xmlns:a16="http://schemas.microsoft.com/office/drawing/2014/main" id="{00000000-0008-0000-0000-000098000000}"/>
            </a:ext>
          </a:extLst>
        </xdr:cNvPr>
        <xdr:cNvSpPr txBox="1"/>
      </xdr:nvSpPr>
      <xdr:spPr>
        <a:xfrm flipV="1">
          <a:off x="3800475" y="54280832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0</xdr:colOff>
      <xdr:row>262</xdr:row>
      <xdr:rowOff>188357</xdr:rowOff>
    </xdr:from>
    <xdr:ext cx="45719" cy="45719"/>
    <xdr:sp macro="" textlink="">
      <xdr:nvSpPr>
        <xdr:cNvPr id="153" name="TextBox 152">
          <a:extLst>
            <a:ext uri="{FF2B5EF4-FFF2-40B4-BE49-F238E27FC236}">
              <a16:creationId xmlns="" xmlns:a16="http://schemas.microsoft.com/office/drawing/2014/main" id="{00000000-0008-0000-0000-000099000000}"/>
            </a:ext>
          </a:extLst>
        </xdr:cNvPr>
        <xdr:cNvSpPr txBox="1"/>
      </xdr:nvSpPr>
      <xdr:spPr>
        <a:xfrm flipV="1">
          <a:off x="3800475" y="54280832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128</xdr:row>
      <xdr:rowOff>188357</xdr:rowOff>
    </xdr:from>
    <xdr:ext cx="45719" cy="45719"/>
    <xdr:sp macro="" textlink="">
      <xdr:nvSpPr>
        <xdr:cNvPr id="154" name="TextBox 153">
          <a:extLst>
            <a:ext uri="{FF2B5EF4-FFF2-40B4-BE49-F238E27FC236}">
              <a16:creationId xmlns="" xmlns:a16="http://schemas.microsoft.com/office/drawing/2014/main" id="{00000000-0008-0000-0000-00009A000000}"/>
            </a:ext>
          </a:extLst>
        </xdr:cNvPr>
        <xdr:cNvSpPr txBox="1"/>
      </xdr:nvSpPr>
      <xdr:spPr>
        <a:xfrm flipV="1">
          <a:off x="4726781" y="75483482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128</xdr:row>
      <xdr:rowOff>188357</xdr:rowOff>
    </xdr:from>
    <xdr:ext cx="45719" cy="45719"/>
    <xdr:sp macro="" textlink="">
      <xdr:nvSpPr>
        <xdr:cNvPr id="155" name="TextBox 154">
          <a:extLst>
            <a:ext uri="{FF2B5EF4-FFF2-40B4-BE49-F238E27FC236}">
              <a16:creationId xmlns="" xmlns:a16="http://schemas.microsoft.com/office/drawing/2014/main" id="{00000000-0008-0000-0000-00009B000000}"/>
            </a:ext>
          </a:extLst>
        </xdr:cNvPr>
        <xdr:cNvSpPr txBox="1"/>
      </xdr:nvSpPr>
      <xdr:spPr>
        <a:xfrm flipV="1">
          <a:off x="4726781" y="75483482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128</xdr:row>
      <xdr:rowOff>188357</xdr:rowOff>
    </xdr:from>
    <xdr:ext cx="45719" cy="45719"/>
    <xdr:sp macro="" textlink="">
      <xdr:nvSpPr>
        <xdr:cNvPr id="156" name="TextBox 155">
          <a:extLst>
            <a:ext uri="{FF2B5EF4-FFF2-40B4-BE49-F238E27FC236}">
              <a16:creationId xmlns="" xmlns:a16="http://schemas.microsoft.com/office/drawing/2014/main" id="{00000000-0008-0000-0000-00009C000000}"/>
            </a:ext>
          </a:extLst>
        </xdr:cNvPr>
        <xdr:cNvSpPr txBox="1"/>
      </xdr:nvSpPr>
      <xdr:spPr>
        <a:xfrm flipV="1">
          <a:off x="4726781" y="75483482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128</xdr:row>
      <xdr:rowOff>188357</xdr:rowOff>
    </xdr:from>
    <xdr:ext cx="45719" cy="45719"/>
    <xdr:sp macro="" textlink="">
      <xdr:nvSpPr>
        <xdr:cNvPr id="157" name="TextBox 156">
          <a:extLst>
            <a:ext uri="{FF2B5EF4-FFF2-40B4-BE49-F238E27FC236}">
              <a16:creationId xmlns="" xmlns:a16="http://schemas.microsoft.com/office/drawing/2014/main" id="{00000000-0008-0000-0000-00009D000000}"/>
            </a:ext>
          </a:extLst>
        </xdr:cNvPr>
        <xdr:cNvSpPr txBox="1"/>
      </xdr:nvSpPr>
      <xdr:spPr>
        <a:xfrm flipV="1">
          <a:off x="4726781" y="75483482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0</xdr:colOff>
      <xdr:row>128</xdr:row>
      <xdr:rowOff>188357</xdr:rowOff>
    </xdr:from>
    <xdr:ext cx="45719" cy="45719"/>
    <xdr:sp macro="" textlink="">
      <xdr:nvSpPr>
        <xdr:cNvPr id="158" name="TextBox 157">
          <a:extLst>
            <a:ext uri="{FF2B5EF4-FFF2-40B4-BE49-F238E27FC236}">
              <a16:creationId xmlns="" xmlns:a16="http://schemas.microsoft.com/office/drawing/2014/main" id="{00000000-0008-0000-0000-00009E000000}"/>
            </a:ext>
          </a:extLst>
        </xdr:cNvPr>
        <xdr:cNvSpPr txBox="1"/>
      </xdr:nvSpPr>
      <xdr:spPr>
        <a:xfrm flipV="1">
          <a:off x="3798094" y="75483482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0</xdr:colOff>
      <xdr:row>128</xdr:row>
      <xdr:rowOff>188357</xdr:rowOff>
    </xdr:from>
    <xdr:ext cx="45719" cy="45719"/>
    <xdr:sp macro="" textlink="">
      <xdr:nvSpPr>
        <xdr:cNvPr id="159" name="TextBox 158">
          <a:extLst>
            <a:ext uri="{FF2B5EF4-FFF2-40B4-BE49-F238E27FC236}">
              <a16:creationId xmlns="" xmlns:a16="http://schemas.microsoft.com/office/drawing/2014/main" id="{00000000-0008-0000-0000-00009F000000}"/>
            </a:ext>
          </a:extLst>
        </xdr:cNvPr>
        <xdr:cNvSpPr txBox="1"/>
      </xdr:nvSpPr>
      <xdr:spPr>
        <a:xfrm flipV="1">
          <a:off x="3798094" y="75483482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128</xdr:row>
      <xdr:rowOff>188357</xdr:rowOff>
    </xdr:from>
    <xdr:ext cx="45719" cy="45719"/>
    <xdr:sp macro="" textlink="">
      <xdr:nvSpPr>
        <xdr:cNvPr id="160" name="TextBox 159">
          <a:extLst>
            <a:ext uri="{FF2B5EF4-FFF2-40B4-BE49-F238E27FC236}">
              <a16:creationId xmlns="" xmlns:a16="http://schemas.microsoft.com/office/drawing/2014/main" id="{00000000-0008-0000-0000-0000A0000000}"/>
            </a:ext>
          </a:extLst>
        </xdr:cNvPr>
        <xdr:cNvSpPr txBox="1"/>
      </xdr:nvSpPr>
      <xdr:spPr>
        <a:xfrm flipV="1">
          <a:off x="4726781" y="75483482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128</xdr:row>
      <xdr:rowOff>188357</xdr:rowOff>
    </xdr:from>
    <xdr:ext cx="45719" cy="45719"/>
    <xdr:sp macro="" textlink="">
      <xdr:nvSpPr>
        <xdr:cNvPr id="161" name="TextBox 160">
          <a:extLst>
            <a:ext uri="{FF2B5EF4-FFF2-40B4-BE49-F238E27FC236}">
              <a16:creationId xmlns="" xmlns:a16="http://schemas.microsoft.com/office/drawing/2014/main" id="{00000000-0008-0000-0000-0000A1000000}"/>
            </a:ext>
          </a:extLst>
        </xdr:cNvPr>
        <xdr:cNvSpPr txBox="1"/>
      </xdr:nvSpPr>
      <xdr:spPr>
        <a:xfrm flipV="1">
          <a:off x="4726781" y="75483482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128</xdr:row>
      <xdr:rowOff>188357</xdr:rowOff>
    </xdr:from>
    <xdr:ext cx="45719" cy="45719"/>
    <xdr:sp macro="" textlink="">
      <xdr:nvSpPr>
        <xdr:cNvPr id="162" name="TextBox 161">
          <a:extLst>
            <a:ext uri="{FF2B5EF4-FFF2-40B4-BE49-F238E27FC236}">
              <a16:creationId xmlns="" xmlns:a16="http://schemas.microsoft.com/office/drawing/2014/main" id="{00000000-0008-0000-0000-0000A2000000}"/>
            </a:ext>
          </a:extLst>
        </xdr:cNvPr>
        <xdr:cNvSpPr txBox="1"/>
      </xdr:nvSpPr>
      <xdr:spPr>
        <a:xfrm flipV="1">
          <a:off x="4726781" y="75483482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128</xdr:row>
      <xdr:rowOff>188357</xdr:rowOff>
    </xdr:from>
    <xdr:ext cx="45719" cy="45719"/>
    <xdr:sp macro="" textlink="">
      <xdr:nvSpPr>
        <xdr:cNvPr id="163" name="TextBox 162">
          <a:extLst>
            <a:ext uri="{FF2B5EF4-FFF2-40B4-BE49-F238E27FC236}">
              <a16:creationId xmlns="" xmlns:a16="http://schemas.microsoft.com/office/drawing/2014/main" id="{00000000-0008-0000-0000-0000A3000000}"/>
            </a:ext>
          </a:extLst>
        </xdr:cNvPr>
        <xdr:cNvSpPr txBox="1"/>
      </xdr:nvSpPr>
      <xdr:spPr>
        <a:xfrm flipV="1">
          <a:off x="4726781" y="75483482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0</xdr:colOff>
      <xdr:row>128</xdr:row>
      <xdr:rowOff>188357</xdr:rowOff>
    </xdr:from>
    <xdr:ext cx="45719" cy="45719"/>
    <xdr:sp macro="" textlink="">
      <xdr:nvSpPr>
        <xdr:cNvPr id="164" name="TextBox 163">
          <a:extLst>
            <a:ext uri="{FF2B5EF4-FFF2-40B4-BE49-F238E27FC236}">
              <a16:creationId xmlns="" xmlns:a16="http://schemas.microsoft.com/office/drawing/2014/main" id="{00000000-0008-0000-0000-0000A4000000}"/>
            </a:ext>
          </a:extLst>
        </xdr:cNvPr>
        <xdr:cNvSpPr txBox="1"/>
      </xdr:nvSpPr>
      <xdr:spPr>
        <a:xfrm flipV="1">
          <a:off x="3798094" y="75483482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0</xdr:colOff>
      <xdr:row>128</xdr:row>
      <xdr:rowOff>188357</xdr:rowOff>
    </xdr:from>
    <xdr:ext cx="45719" cy="45719"/>
    <xdr:sp macro="" textlink="">
      <xdr:nvSpPr>
        <xdr:cNvPr id="165" name="TextBox 164">
          <a:extLst>
            <a:ext uri="{FF2B5EF4-FFF2-40B4-BE49-F238E27FC236}">
              <a16:creationId xmlns="" xmlns:a16="http://schemas.microsoft.com/office/drawing/2014/main" id="{00000000-0008-0000-0000-0000A5000000}"/>
            </a:ext>
          </a:extLst>
        </xdr:cNvPr>
        <xdr:cNvSpPr txBox="1"/>
      </xdr:nvSpPr>
      <xdr:spPr>
        <a:xfrm flipV="1">
          <a:off x="3798094" y="75483482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15</xdr:row>
      <xdr:rowOff>188357</xdr:rowOff>
    </xdr:from>
    <xdr:ext cx="45719" cy="45719"/>
    <xdr:sp macro="" textlink="">
      <xdr:nvSpPr>
        <xdr:cNvPr id="166" name="TextBox 165">
          <a:extLst>
            <a:ext uri="{FF2B5EF4-FFF2-40B4-BE49-F238E27FC236}">
              <a16:creationId xmlns="" xmlns:a16="http://schemas.microsoft.com/office/drawing/2014/main" id="{00000000-0008-0000-0000-0000A6000000}"/>
            </a:ext>
          </a:extLst>
        </xdr:cNvPr>
        <xdr:cNvSpPr txBox="1"/>
      </xdr:nvSpPr>
      <xdr:spPr>
        <a:xfrm flipV="1">
          <a:off x="4726781" y="34097357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15</xdr:row>
      <xdr:rowOff>188357</xdr:rowOff>
    </xdr:from>
    <xdr:ext cx="45719" cy="45719"/>
    <xdr:sp macro="" textlink="">
      <xdr:nvSpPr>
        <xdr:cNvPr id="167" name="TextBox 166">
          <a:extLst>
            <a:ext uri="{FF2B5EF4-FFF2-40B4-BE49-F238E27FC236}">
              <a16:creationId xmlns="" xmlns:a16="http://schemas.microsoft.com/office/drawing/2014/main" id="{00000000-0008-0000-0000-0000A7000000}"/>
            </a:ext>
          </a:extLst>
        </xdr:cNvPr>
        <xdr:cNvSpPr txBox="1"/>
      </xdr:nvSpPr>
      <xdr:spPr>
        <a:xfrm flipV="1">
          <a:off x="4726781" y="34097357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15</xdr:row>
      <xdr:rowOff>188357</xdr:rowOff>
    </xdr:from>
    <xdr:ext cx="45719" cy="45719"/>
    <xdr:sp macro="" textlink="">
      <xdr:nvSpPr>
        <xdr:cNvPr id="168" name="TextBox 167">
          <a:extLst>
            <a:ext uri="{FF2B5EF4-FFF2-40B4-BE49-F238E27FC236}">
              <a16:creationId xmlns="" xmlns:a16="http://schemas.microsoft.com/office/drawing/2014/main" id="{00000000-0008-0000-0000-0000A8000000}"/>
            </a:ext>
          </a:extLst>
        </xdr:cNvPr>
        <xdr:cNvSpPr txBox="1"/>
      </xdr:nvSpPr>
      <xdr:spPr>
        <a:xfrm flipV="1">
          <a:off x="4726781" y="34097357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15</xdr:row>
      <xdr:rowOff>188357</xdr:rowOff>
    </xdr:from>
    <xdr:ext cx="45719" cy="45719"/>
    <xdr:sp macro="" textlink="">
      <xdr:nvSpPr>
        <xdr:cNvPr id="169" name="TextBox 168">
          <a:extLst>
            <a:ext uri="{FF2B5EF4-FFF2-40B4-BE49-F238E27FC236}">
              <a16:creationId xmlns="" xmlns:a16="http://schemas.microsoft.com/office/drawing/2014/main" id="{00000000-0008-0000-0000-0000A9000000}"/>
            </a:ext>
          </a:extLst>
        </xdr:cNvPr>
        <xdr:cNvSpPr txBox="1"/>
      </xdr:nvSpPr>
      <xdr:spPr>
        <a:xfrm flipV="1">
          <a:off x="4726781" y="34097357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0</xdr:colOff>
      <xdr:row>15</xdr:row>
      <xdr:rowOff>188357</xdr:rowOff>
    </xdr:from>
    <xdr:ext cx="45719" cy="45719"/>
    <xdr:sp macro="" textlink="">
      <xdr:nvSpPr>
        <xdr:cNvPr id="170" name="TextBox 169">
          <a:extLst>
            <a:ext uri="{FF2B5EF4-FFF2-40B4-BE49-F238E27FC236}">
              <a16:creationId xmlns="" xmlns:a16="http://schemas.microsoft.com/office/drawing/2014/main" id="{00000000-0008-0000-0000-0000AA000000}"/>
            </a:ext>
          </a:extLst>
        </xdr:cNvPr>
        <xdr:cNvSpPr txBox="1"/>
      </xdr:nvSpPr>
      <xdr:spPr>
        <a:xfrm flipV="1">
          <a:off x="3798094" y="34097357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0</xdr:colOff>
      <xdr:row>15</xdr:row>
      <xdr:rowOff>188357</xdr:rowOff>
    </xdr:from>
    <xdr:ext cx="45719" cy="45719"/>
    <xdr:sp macro="" textlink="">
      <xdr:nvSpPr>
        <xdr:cNvPr id="171" name="TextBox 170">
          <a:extLst>
            <a:ext uri="{FF2B5EF4-FFF2-40B4-BE49-F238E27FC236}">
              <a16:creationId xmlns="" xmlns:a16="http://schemas.microsoft.com/office/drawing/2014/main" id="{00000000-0008-0000-0000-0000AB000000}"/>
            </a:ext>
          </a:extLst>
        </xdr:cNvPr>
        <xdr:cNvSpPr txBox="1"/>
      </xdr:nvSpPr>
      <xdr:spPr>
        <a:xfrm flipV="1">
          <a:off x="3798094" y="34097357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15</xdr:row>
      <xdr:rowOff>188357</xdr:rowOff>
    </xdr:from>
    <xdr:ext cx="45719" cy="45719"/>
    <xdr:sp macro="" textlink="">
      <xdr:nvSpPr>
        <xdr:cNvPr id="172" name="TextBox 171">
          <a:extLst>
            <a:ext uri="{FF2B5EF4-FFF2-40B4-BE49-F238E27FC236}">
              <a16:creationId xmlns="" xmlns:a16="http://schemas.microsoft.com/office/drawing/2014/main" id="{00000000-0008-0000-0000-0000AC000000}"/>
            </a:ext>
          </a:extLst>
        </xdr:cNvPr>
        <xdr:cNvSpPr txBox="1"/>
      </xdr:nvSpPr>
      <xdr:spPr>
        <a:xfrm flipV="1">
          <a:off x="4726781" y="34097357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15</xdr:row>
      <xdr:rowOff>188357</xdr:rowOff>
    </xdr:from>
    <xdr:ext cx="45719" cy="45719"/>
    <xdr:sp macro="" textlink="">
      <xdr:nvSpPr>
        <xdr:cNvPr id="173" name="TextBox 172">
          <a:extLst>
            <a:ext uri="{FF2B5EF4-FFF2-40B4-BE49-F238E27FC236}">
              <a16:creationId xmlns="" xmlns:a16="http://schemas.microsoft.com/office/drawing/2014/main" id="{00000000-0008-0000-0000-0000AD000000}"/>
            </a:ext>
          </a:extLst>
        </xdr:cNvPr>
        <xdr:cNvSpPr txBox="1"/>
      </xdr:nvSpPr>
      <xdr:spPr>
        <a:xfrm flipV="1">
          <a:off x="4726781" y="34097357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15</xdr:row>
      <xdr:rowOff>188357</xdr:rowOff>
    </xdr:from>
    <xdr:ext cx="45719" cy="45719"/>
    <xdr:sp macro="" textlink="">
      <xdr:nvSpPr>
        <xdr:cNvPr id="174" name="TextBox 173">
          <a:extLst>
            <a:ext uri="{FF2B5EF4-FFF2-40B4-BE49-F238E27FC236}">
              <a16:creationId xmlns="" xmlns:a16="http://schemas.microsoft.com/office/drawing/2014/main" id="{00000000-0008-0000-0000-0000AE000000}"/>
            </a:ext>
          </a:extLst>
        </xdr:cNvPr>
        <xdr:cNvSpPr txBox="1"/>
      </xdr:nvSpPr>
      <xdr:spPr>
        <a:xfrm flipV="1">
          <a:off x="4726781" y="34097357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15</xdr:row>
      <xdr:rowOff>188357</xdr:rowOff>
    </xdr:from>
    <xdr:ext cx="45719" cy="45719"/>
    <xdr:sp macro="" textlink="">
      <xdr:nvSpPr>
        <xdr:cNvPr id="175" name="TextBox 174">
          <a:extLst>
            <a:ext uri="{FF2B5EF4-FFF2-40B4-BE49-F238E27FC236}">
              <a16:creationId xmlns="" xmlns:a16="http://schemas.microsoft.com/office/drawing/2014/main" id="{00000000-0008-0000-0000-0000AF000000}"/>
            </a:ext>
          </a:extLst>
        </xdr:cNvPr>
        <xdr:cNvSpPr txBox="1"/>
      </xdr:nvSpPr>
      <xdr:spPr>
        <a:xfrm flipV="1">
          <a:off x="4726781" y="34097357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0</xdr:colOff>
      <xdr:row>15</xdr:row>
      <xdr:rowOff>188357</xdr:rowOff>
    </xdr:from>
    <xdr:ext cx="45719" cy="45719"/>
    <xdr:sp macro="" textlink="">
      <xdr:nvSpPr>
        <xdr:cNvPr id="176" name="TextBox 175">
          <a:extLst>
            <a:ext uri="{FF2B5EF4-FFF2-40B4-BE49-F238E27FC236}">
              <a16:creationId xmlns="" xmlns:a16="http://schemas.microsoft.com/office/drawing/2014/main" id="{00000000-0008-0000-0000-0000B0000000}"/>
            </a:ext>
          </a:extLst>
        </xdr:cNvPr>
        <xdr:cNvSpPr txBox="1"/>
      </xdr:nvSpPr>
      <xdr:spPr>
        <a:xfrm flipV="1">
          <a:off x="3798094" y="34097357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0</xdr:colOff>
      <xdr:row>15</xdr:row>
      <xdr:rowOff>188357</xdr:rowOff>
    </xdr:from>
    <xdr:ext cx="45719" cy="45719"/>
    <xdr:sp macro="" textlink="">
      <xdr:nvSpPr>
        <xdr:cNvPr id="177" name="TextBox 176">
          <a:extLst>
            <a:ext uri="{FF2B5EF4-FFF2-40B4-BE49-F238E27FC236}">
              <a16:creationId xmlns="" xmlns:a16="http://schemas.microsoft.com/office/drawing/2014/main" id="{00000000-0008-0000-0000-0000B1000000}"/>
            </a:ext>
          </a:extLst>
        </xdr:cNvPr>
        <xdr:cNvSpPr txBox="1"/>
      </xdr:nvSpPr>
      <xdr:spPr>
        <a:xfrm flipV="1">
          <a:off x="3798094" y="34097357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12</xdr:row>
      <xdr:rowOff>188357</xdr:rowOff>
    </xdr:from>
    <xdr:ext cx="45719" cy="45719"/>
    <xdr:sp macro="" textlink="">
      <xdr:nvSpPr>
        <xdr:cNvPr id="178" name="TextBox 177">
          <a:extLst>
            <a:ext uri="{FF2B5EF4-FFF2-40B4-BE49-F238E27FC236}">
              <a16:creationId xmlns="" xmlns:a16="http://schemas.microsoft.com/office/drawing/2014/main" id="{00000000-0008-0000-0000-0000B2000000}"/>
            </a:ext>
          </a:extLst>
        </xdr:cNvPr>
        <xdr:cNvSpPr txBox="1"/>
      </xdr:nvSpPr>
      <xdr:spPr>
        <a:xfrm flipV="1">
          <a:off x="4726781" y="4426982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12</xdr:row>
      <xdr:rowOff>188357</xdr:rowOff>
    </xdr:from>
    <xdr:ext cx="45719" cy="45719"/>
    <xdr:sp macro="" textlink="">
      <xdr:nvSpPr>
        <xdr:cNvPr id="179" name="TextBox 178">
          <a:extLst>
            <a:ext uri="{FF2B5EF4-FFF2-40B4-BE49-F238E27FC236}">
              <a16:creationId xmlns="" xmlns:a16="http://schemas.microsoft.com/office/drawing/2014/main" id="{00000000-0008-0000-0000-0000B3000000}"/>
            </a:ext>
          </a:extLst>
        </xdr:cNvPr>
        <xdr:cNvSpPr txBox="1"/>
      </xdr:nvSpPr>
      <xdr:spPr>
        <a:xfrm flipV="1">
          <a:off x="4726781" y="4426982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12</xdr:row>
      <xdr:rowOff>188357</xdr:rowOff>
    </xdr:from>
    <xdr:ext cx="45719" cy="45719"/>
    <xdr:sp macro="" textlink="">
      <xdr:nvSpPr>
        <xdr:cNvPr id="180" name="TextBox 179">
          <a:extLst>
            <a:ext uri="{FF2B5EF4-FFF2-40B4-BE49-F238E27FC236}">
              <a16:creationId xmlns="" xmlns:a16="http://schemas.microsoft.com/office/drawing/2014/main" id="{00000000-0008-0000-0000-0000B4000000}"/>
            </a:ext>
          </a:extLst>
        </xdr:cNvPr>
        <xdr:cNvSpPr txBox="1"/>
      </xdr:nvSpPr>
      <xdr:spPr>
        <a:xfrm flipV="1">
          <a:off x="4726781" y="4426982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12</xdr:row>
      <xdr:rowOff>188357</xdr:rowOff>
    </xdr:from>
    <xdr:ext cx="45719" cy="45719"/>
    <xdr:sp macro="" textlink="">
      <xdr:nvSpPr>
        <xdr:cNvPr id="181" name="TextBox 180">
          <a:extLst>
            <a:ext uri="{FF2B5EF4-FFF2-40B4-BE49-F238E27FC236}">
              <a16:creationId xmlns="" xmlns:a16="http://schemas.microsoft.com/office/drawing/2014/main" id="{00000000-0008-0000-0000-0000B5000000}"/>
            </a:ext>
          </a:extLst>
        </xdr:cNvPr>
        <xdr:cNvSpPr txBox="1"/>
      </xdr:nvSpPr>
      <xdr:spPr>
        <a:xfrm flipV="1">
          <a:off x="4726781" y="4426982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0</xdr:colOff>
      <xdr:row>12</xdr:row>
      <xdr:rowOff>188357</xdr:rowOff>
    </xdr:from>
    <xdr:ext cx="45719" cy="45719"/>
    <xdr:sp macro="" textlink="">
      <xdr:nvSpPr>
        <xdr:cNvPr id="182" name="TextBox 181">
          <a:extLst>
            <a:ext uri="{FF2B5EF4-FFF2-40B4-BE49-F238E27FC236}">
              <a16:creationId xmlns="" xmlns:a16="http://schemas.microsoft.com/office/drawing/2014/main" id="{00000000-0008-0000-0000-0000B6000000}"/>
            </a:ext>
          </a:extLst>
        </xdr:cNvPr>
        <xdr:cNvSpPr txBox="1"/>
      </xdr:nvSpPr>
      <xdr:spPr>
        <a:xfrm flipV="1">
          <a:off x="3798094" y="4426982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0</xdr:colOff>
      <xdr:row>12</xdr:row>
      <xdr:rowOff>188357</xdr:rowOff>
    </xdr:from>
    <xdr:ext cx="45719" cy="45719"/>
    <xdr:sp macro="" textlink="">
      <xdr:nvSpPr>
        <xdr:cNvPr id="183" name="TextBox 182">
          <a:extLst>
            <a:ext uri="{FF2B5EF4-FFF2-40B4-BE49-F238E27FC236}">
              <a16:creationId xmlns="" xmlns:a16="http://schemas.microsoft.com/office/drawing/2014/main" id="{00000000-0008-0000-0000-0000B7000000}"/>
            </a:ext>
          </a:extLst>
        </xdr:cNvPr>
        <xdr:cNvSpPr txBox="1"/>
      </xdr:nvSpPr>
      <xdr:spPr>
        <a:xfrm flipV="1">
          <a:off x="3798094" y="4426982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12</xdr:row>
      <xdr:rowOff>188357</xdr:rowOff>
    </xdr:from>
    <xdr:ext cx="45719" cy="45719"/>
    <xdr:sp macro="" textlink="">
      <xdr:nvSpPr>
        <xdr:cNvPr id="184" name="TextBox 183">
          <a:extLst>
            <a:ext uri="{FF2B5EF4-FFF2-40B4-BE49-F238E27FC236}">
              <a16:creationId xmlns="" xmlns:a16="http://schemas.microsoft.com/office/drawing/2014/main" id="{00000000-0008-0000-0000-0000B8000000}"/>
            </a:ext>
          </a:extLst>
        </xdr:cNvPr>
        <xdr:cNvSpPr txBox="1"/>
      </xdr:nvSpPr>
      <xdr:spPr>
        <a:xfrm flipV="1">
          <a:off x="4726781" y="4426982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12</xdr:row>
      <xdr:rowOff>188357</xdr:rowOff>
    </xdr:from>
    <xdr:ext cx="45719" cy="45719"/>
    <xdr:sp macro="" textlink="">
      <xdr:nvSpPr>
        <xdr:cNvPr id="185" name="TextBox 184">
          <a:extLst>
            <a:ext uri="{FF2B5EF4-FFF2-40B4-BE49-F238E27FC236}">
              <a16:creationId xmlns="" xmlns:a16="http://schemas.microsoft.com/office/drawing/2014/main" id="{00000000-0008-0000-0000-0000B9000000}"/>
            </a:ext>
          </a:extLst>
        </xdr:cNvPr>
        <xdr:cNvSpPr txBox="1"/>
      </xdr:nvSpPr>
      <xdr:spPr>
        <a:xfrm flipV="1">
          <a:off x="4726781" y="4426982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12</xdr:row>
      <xdr:rowOff>188357</xdr:rowOff>
    </xdr:from>
    <xdr:ext cx="45719" cy="45719"/>
    <xdr:sp macro="" textlink="">
      <xdr:nvSpPr>
        <xdr:cNvPr id="186" name="TextBox 185">
          <a:extLst>
            <a:ext uri="{FF2B5EF4-FFF2-40B4-BE49-F238E27FC236}">
              <a16:creationId xmlns="" xmlns:a16="http://schemas.microsoft.com/office/drawing/2014/main" id="{00000000-0008-0000-0000-0000BA000000}"/>
            </a:ext>
          </a:extLst>
        </xdr:cNvPr>
        <xdr:cNvSpPr txBox="1"/>
      </xdr:nvSpPr>
      <xdr:spPr>
        <a:xfrm flipV="1">
          <a:off x="4726781" y="4426982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12</xdr:row>
      <xdr:rowOff>188357</xdr:rowOff>
    </xdr:from>
    <xdr:ext cx="45719" cy="45719"/>
    <xdr:sp macro="" textlink="">
      <xdr:nvSpPr>
        <xdr:cNvPr id="187" name="TextBox 186">
          <a:extLst>
            <a:ext uri="{FF2B5EF4-FFF2-40B4-BE49-F238E27FC236}">
              <a16:creationId xmlns="" xmlns:a16="http://schemas.microsoft.com/office/drawing/2014/main" id="{00000000-0008-0000-0000-0000BB000000}"/>
            </a:ext>
          </a:extLst>
        </xdr:cNvPr>
        <xdr:cNvSpPr txBox="1"/>
      </xdr:nvSpPr>
      <xdr:spPr>
        <a:xfrm flipV="1">
          <a:off x="4726781" y="4426982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0</xdr:colOff>
      <xdr:row>12</xdr:row>
      <xdr:rowOff>188357</xdr:rowOff>
    </xdr:from>
    <xdr:ext cx="45719" cy="45719"/>
    <xdr:sp macro="" textlink="">
      <xdr:nvSpPr>
        <xdr:cNvPr id="188" name="TextBox 187">
          <a:extLst>
            <a:ext uri="{FF2B5EF4-FFF2-40B4-BE49-F238E27FC236}">
              <a16:creationId xmlns="" xmlns:a16="http://schemas.microsoft.com/office/drawing/2014/main" id="{00000000-0008-0000-0000-0000BC000000}"/>
            </a:ext>
          </a:extLst>
        </xdr:cNvPr>
        <xdr:cNvSpPr txBox="1"/>
      </xdr:nvSpPr>
      <xdr:spPr>
        <a:xfrm flipV="1">
          <a:off x="3798094" y="4426982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0</xdr:colOff>
      <xdr:row>12</xdr:row>
      <xdr:rowOff>188357</xdr:rowOff>
    </xdr:from>
    <xdr:ext cx="45719" cy="45719"/>
    <xdr:sp macro="" textlink="">
      <xdr:nvSpPr>
        <xdr:cNvPr id="189" name="TextBox 188">
          <a:extLst>
            <a:ext uri="{FF2B5EF4-FFF2-40B4-BE49-F238E27FC236}">
              <a16:creationId xmlns="" xmlns:a16="http://schemas.microsoft.com/office/drawing/2014/main" id="{00000000-0008-0000-0000-0000BD000000}"/>
            </a:ext>
          </a:extLst>
        </xdr:cNvPr>
        <xdr:cNvSpPr txBox="1"/>
      </xdr:nvSpPr>
      <xdr:spPr>
        <a:xfrm flipV="1">
          <a:off x="3798094" y="4426982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0</xdr:colOff>
      <xdr:row>15</xdr:row>
      <xdr:rowOff>188357</xdr:rowOff>
    </xdr:from>
    <xdr:ext cx="45719" cy="45719"/>
    <xdr:sp macro="" textlink="">
      <xdr:nvSpPr>
        <xdr:cNvPr id="190" name="TextBox 189">
          <a:extLst>
            <a:ext uri="{FF2B5EF4-FFF2-40B4-BE49-F238E27FC236}">
              <a16:creationId xmlns="" xmlns:a16="http://schemas.microsoft.com/office/drawing/2014/main" id="{00000000-0008-0000-0000-0000BE000000}"/>
            </a:ext>
          </a:extLst>
        </xdr:cNvPr>
        <xdr:cNvSpPr txBox="1"/>
      </xdr:nvSpPr>
      <xdr:spPr>
        <a:xfrm flipV="1">
          <a:off x="3800475" y="4284107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0</xdr:colOff>
      <xdr:row>15</xdr:row>
      <xdr:rowOff>188357</xdr:rowOff>
    </xdr:from>
    <xdr:ext cx="45719" cy="45719"/>
    <xdr:sp macro="" textlink="">
      <xdr:nvSpPr>
        <xdr:cNvPr id="191" name="TextBox 190">
          <a:extLst>
            <a:ext uri="{FF2B5EF4-FFF2-40B4-BE49-F238E27FC236}">
              <a16:creationId xmlns="" xmlns:a16="http://schemas.microsoft.com/office/drawing/2014/main" id="{00000000-0008-0000-0000-0000BF000000}"/>
            </a:ext>
          </a:extLst>
        </xdr:cNvPr>
        <xdr:cNvSpPr txBox="1"/>
      </xdr:nvSpPr>
      <xdr:spPr>
        <a:xfrm flipV="1">
          <a:off x="3800475" y="4284107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0</xdr:colOff>
      <xdr:row>15</xdr:row>
      <xdr:rowOff>188357</xdr:rowOff>
    </xdr:from>
    <xdr:ext cx="45719" cy="45719"/>
    <xdr:sp macro="" textlink="">
      <xdr:nvSpPr>
        <xdr:cNvPr id="192" name="TextBox 191">
          <a:extLst>
            <a:ext uri="{FF2B5EF4-FFF2-40B4-BE49-F238E27FC236}">
              <a16:creationId xmlns="" xmlns:a16="http://schemas.microsoft.com/office/drawing/2014/main" id="{00000000-0008-0000-0000-0000C0000000}"/>
            </a:ext>
          </a:extLst>
        </xdr:cNvPr>
        <xdr:cNvSpPr txBox="1"/>
      </xdr:nvSpPr>
      <xdr:spPr>
        <a:xfrm flipV="1">
          <a:off x="3800475" y="4284107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0</xdr:colOff>
      <xdr:row>15</xdr:row>
      <xdr:rowOff>188357</xdr:rowOff>
    </xdr:from>
    <xdr:ext cx="45719" cy="45719"/>
    <xdr:sp macro="" textlink="">
      <xdr:nvSpPr>
        <xdr:cNvPr id="193" name="TextBox 192">
          <a:extLst>
            <a:ext uri="{FF2B5EF4-FFF2-40B4-BE49-F238E27FC236}">
              <a16:creationId xmlns="" xmlns:a16="http://schemas.microsoft.com/office/drawing/2014/main" id="{00000000-0008-0000-0000-0000C1000000}"/>
            </a:ext>
          </a:extLst>
        </xdr:cNvPr>
        <xdr:cNvSpPr txBox="1"/>
      </xdr:nvSpPr>
      <xdr:spPr>
        <a:xfrm flipV="1">
          <a:off x="3800475" y="4284107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0</xdr:colOff>
      <xdr:row>12</xdr:row>
      <xdr:rowOff>188357</xdr:rowOff>
    </xdr:from>
    <xdr:ext cx="45719" cy="45719"/>
    <xdr:sp macro="" textlink="">
      <xdr:nvSpPr>
        <xdr:cNvPr id="194" name="TextBox 193">
          <a:extLst>
            <a:ext uri="{FF2B5EF4-FFF2-40B4-BE49-F238E27FC236}">
              <a16:creationId xmlns="" xmlns:a16="http://schemas.microsoft.com/office/drawing/2014/main" id="{00000000-0008-0000-0000-0000C2000000}"/>
            </a:ext>
          </a:extLst>
        </xdr:cNvPr>
        <xdr:cNvSpPr txBox="1"/>
      </xdr:nvSpPr>
      <xdr:spPr>
        <a:xfrm flipV="1">
          <a:off x="3800475" y="3712607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0</xdr:colOff>
      <xdr:row>12</xdr:row>
      <xdr:rowOff>188357</xdr:rowOff>
    </xdr:from>
    <xdr:ext cx="45719" cy="45719"/>
    <xdr:sp macro="" textlink="">
      <xdr:nvSpPr>
        <xdr:cNvPr id="195" name="TextBox 194">
          <a:extLst>
            <a:ext uri="{FF2B5EF4-FFF2-40B4-BE49-F238E27FC236}">
              <a16:creationId xmlns="" xmlns:a16="http://schemas.microsoft.com/office/drawing/2014/main" id="{00000000-0008-0000-0000-0000C3000000}"/>
            </a:ext>
          </a:extLst>
        </xdr:cNvPr>
        <xdr:cNvSpPr txBox="1"/>
      </xdr:nvSpPr>
      <xdr:spPr>
        <a:xfrm flipV="1">
          <a:off x="3800475" y="3712607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0</xdr:colOff>
      <xdr:row>12</xdr:row>
      <xdr:rowOff>188357</xdr:rowOff>
    </xdr:from>
    <xdr:ext cx="45719" cy="45719"/>
    <xdr:sp macro="" textlink="">
      <xdr:nvSpPr>
        <xdr:cNvPr id="196" name="TextBox 195">
          <a:extLst>
            <a:ext uri="{FF2B5EF4-FFF2-40B4-BE49-F238E27FC236}">
              <a16:creationId xmlns="" xmlns:a16="http://schemas.microsoft.com/office/drawing/2014/main" id="{00000000-0008-0000-0000-0000C4000000}"/>
            </a:ext>
          </a:extLst>
        </xdr:cNvPr>
        <xdr:cNvSpPr txBox="1"/>
      </xdr:nvSpPr>
      <xdr:spPr>
        <a:xfrm flipV="1">
          <a:off x="3800475" y="3712607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0</xdr:colOff>
      <xdr:row>12</xdr:row>
      <xdr:rowOff>188357</xdr:rowOff>
    </xdr:from>
    <xdr:ext cx="45719" cy="45719"/>
    <xdr:sp macro="" textlink="">
      <xdr:nvSpPr>
        <xdr:cNvPr id="197" name="TextBox 196">
          <a:extLst>
            <a:ext uri="{FF2B5EF4-FFF2-40B4-BE49-F238E27FC236}">
              <a16:creationId xmlns="" xmlns:a16="http://schemas.microsoft.com/office/drawing/2014/main" id="{00000000-0008-0000-0000-0000C5000000}"/>
            </a:ext>
          </a:extLst>
        </xdr:cNvPr>
        <xdr:cNvSpPr txBox="1"/>
      </xdr:nvSpPr>
      <xdr:spPr>
        <a:xfrm flipV="1">
          <a:off x="3800475" y="3712607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0</xdr:colOff>
      <xdr:row>658</xdr:row>
      <xdr:rowOff>152400</xdr:rowOff>
    </xdr:from>
    <xdr:ext cx="104775" cy="163419"/>
    <xdr:sp macro="" textlink="">
      <xdr:nvSpPr>
        <xdr:cNvPr id="198" name="Text Box 1"/>
        <xdr:cNvSpPr txBox="1">
          <a:spLocks noChangeArrowheads="1"/>
        </xdr:cNvSpPr>
      </xdr:nvSpPr>
      <xdr:spPr bwMode="auto">
        <a:xfrm>
          <a:off x="190500" y="251412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658</xdr:row>
      <xdr:rowOff>152400</xdr:rowOff>
    </xdr:from>
    <xdr:ext cx="104775" cy="163419"/>
    <xdr:sp macro="" textlink="">
      <xdr:nvSpPr>
        <xdr:cNvPr id="199" name="Text Box 1"/>
        <xdr:cNvSpPr txBox="1">
          <a:spLocks noChangeArrowheads="1"/>
        </xdr:cNvSpPr>
      </xdr:nvSpPr>
      <xdr:spPr bwMode="auto">
        <a:xfrm>
          <a:off x="190500" y="251412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658</xdr:row>
      <xdr:rowOff>152400</xdr:rowOff>
    </xdr:from>
    <xdr:ext cx="104775" cy="163419"/>
    <xdr:sp macro="" textlink="">
      <xdr:nvSpPr>
        <xdr:cNvPr id="200" name="Text Box 1"/>
        <xdr:cNvSpPr txBox="1">
          <a:spLocks noChangeArrowheads="1"/>
        </xdr:cNvSpPr>
      </xdr:nvSpPr>
      <xdr:spPr bwMode="auto">
        <a:xfrm>
          <a:off x="190500" y="251412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658</xdr:row>
      <xdr:rowOff>152400</xdr:rowOff>
    </xdr:from>
    <xdr:ext cx="104775" cy="163419"/>
    <xdr:sp macro="" textlink="">
      <xdr:nvSpPr>
        <xdr:cNvPr id="201" name="Text Box 1"/>
        <xdr:cNvSpPr txBox="1">
          <a:spLocks noChangeArrowheads="1"/>
        </xdr:cNvSpPr>
      </xdr:nvSpPr>
      <xdr:spPr bwMode="auto">
        <a:xfrm>
          <a:off x="190500" y="251412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658</xdr:row>
      <xdr:rowOff>152400</xdr:rowOff>
    </xdr:from>
    <xdr:ext cx="104775" cy="163419"/>
    <xdr:sp macro="" textlink="">
      <xdr:nvSpPr>
        <xdr:cNvPr id="202" name="Text Box 1"/>
        <xdr:cNvSpPr txBox="1">
          <a:spLocks noChangeArrowheads="1"/>
        </xdr:cNvSpPr>
      </xdr:nvSpPr>
      <xdr:spPr bwMode="auto">
        <a:xfrm>
          <a:off x="190500" y="251412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658</xdr:row>
      <xdr:rowOff>152400</xdr:rowOff>
    </xdr:from>
    <xdr:ext cx="104775" cy="163419"/>
    <xdr:sp macro="" textlink="">
      <xdr:nvSpPr>
        <xdr:cNvPr id="203" name="Text Box 1"/>
        <xdr:cNvSpPr txBox="1">
          <a:spLocks noChangeArrowheads="1"/>
        </xdr:cNvSpPr>
      </xdr:nvSpPr>
      <xdr:spPr bwMode="auto">
        <a:xfrm>
          <a:off x="190500" y="251412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658</xdr:row>
      <xdr:rowOff>152400</xdr:rowOff>
    </xdr:from>
    <xdr:ext cx="104775" cy="163419"/>
    <xdr:sp macro="" textlink="">
      <xdr:nvSpPr>
        <xdr:cNvPr id="204" name="Text Box 1"/>
        <xdr:cNvSpPr txBox="1">
          <a:spLocks noChangeArrowheads="1"/>
        </xdr:cNvSpPr>
      </xdr:nvSpPr>
      <xdr:spPr bwMode="auto">
        <a:xfrm>
          <a:off x="190500" y="251412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658</xdr:row>
      <xdr:rowOff>152400</xdr:rowOff>
    </xdr:from>
    <xdr:ext cx="104775" cy="163419"/>
    <xdr:sp macro="" textlink="">
      <xdr:nvSpPr>
        <xdr:cNvPr id="205" name="Text Box 1"/>
        <xdr:cNvSpPr txBox="1">
          <a:spLocks noChangeArrowheads="1"/>
        </xdr:cNvSpPr>
      </xdr:nvSpPr>
      <xdr:spPr bwMode="auto">
        <a:xfrm>
          <a:off x="190500" y="251412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658</xdr:row>
      <xdr:rowOff>152400</xdr:rowOff>
    </xdr:from>
    <xdr:ext cx="104775" cy="163419"/>
    <xdr:sp macro="" textlink="">
      <xdr:nvSpPr>
        <xdr:cNvPr id="206" name="Text Box 1"/>
        <xdr:cNvSpPr txBox="1">
          <a:spLocks noChangeArrowheads="1"/>
        </xdr:cNvSpPr>
      </xdr:nvSpPr>
      <xdr:spPr bwMode="auto">
        <a:xfrm>
          <a:off x="190500" y="251412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658</xdr:row>
      <xdr:rowOff>152400</xdr:rowOff>
    </xdr:from>
    <xdr:ext cx="104775" cy="163419"/>
    <xdr:sp macro="" textlink="">
      <xdr:nvSpPr>
        <xdr:cNvPr id="207" name="Text Box 1"/>
        <xdr:cNvSpPr txBox="1">
          <a:spLocks noChangeArrowheads="1"/>
        </xdr:cNvSpPr>
      </xdr:nvSpPr>
      <xdr:spPr bwMode="auto">
        <a:xfrm>
          <a:off x="190500" y="251412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658</xdr:row>
      <xdr:rowOff>152400</xdr:rowOff>
    </xdr:from>
    <xdr:ext cx="104775" cy="163419"/>
    <xdr:sp macro="" textlink="">
      <xdr:nvSpPr>
        <xdr:cNvPr id="208" name="Text Box 1"/>
        <xdr:cNvSpPr txBox="1">
          <a:spLocks noChangeArrowheads="1"/>
        </xdr:cNvSpPr>
      </xdr:nvSpPr>
      <xdr:spPr bwMode="auto">
        <a:xfrm>
          <a:off x="190500" y="251412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658</xdr:row>
      <xdr:rowOff>152400</xdr:rowOff>
    </xdr:from>
    <xdr:ext cx="104775" cy="163419"/>
    <xdr:sp macro="" textlink="">
      <xdr:nvSpPr>
        <xdr:cNvPr id="209" name="Text Box 1"/>
        <xdr:cNvSpPr txBox="1">
          <a:spLocks noChangeArrowheads="1"/>
        </xdr:cNvSpPr>
      </xdr:nvSpPr>
      <xdr:spPr bwMode="auto">
        <a:xfrm>
          <a:off x="190500" y="251412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658</xdr:row>
      <xdr:rowOff>152400</xdr:rowOff>
    </xdr:from>
    <xdr:ext cx="104775" cy="163419"/>
    <xdr:sp macro="" textlink="">
      <xdr:nvSpPr>
        <xdr:cNvPr id="210" name="Text Box 1"/>
        <xdr:cNvSpPr txBox="1">
          <a:spLocks noChangeArrowheads="1"/>
        </xdr:cNvSpPr>
      </xdr:nvSpPr>
      <xdr:spPr bwMode="auto">
        <a:xfrm>
          <a:off x="190500" y="251412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658</xdr:row>
      <xdr:rowOff>152400</xdr:rowOff>
    </xdr:from>
    <xdr:ext cx="104775" cy="163419"/>
    <xdr:sp macro="" textlink="">
      <xdr:nvSpPr>
        <xdr:cNvPr id="211" name="Text Box 1"/>
        <xdr:cNvSpPr txBox="1">
          <a:spLocks noChangeArrowheads="1"/>
        </xdr:cNvSpPr>
      </xdr:nvSpPr>
      <xdr:spPr bwMode="auto">
        <a:xfrm>
          <a:off x="190500" y="251412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658</xdr:row>
      <xdr:rowOff>152400</xdr:rowOff>
    </xdr:from>
    <xdr:ext cx="104775" cy="163419"/>
    <xdr:sp macro="" textlink="">
      <xdr:nvSpPr>
        <xdr:cNvPr id="212" name="Text Box 1"/>
        <xdr:cNvSpPr txBox="1">
          <a:spLocks noChangeArrowheads="1"/>
        </xdr:cNvSpPr>
      </xdr:nvSpPr>
      <xdr:spPr bwMode="auto">
        <a:xfrm>
          <a:off x="190500" y="251412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658</xdr:row>
      <xdr:rowOff>152400</xdr:rowOff>
    </xdr:from>
    <xdr:ext cx="104775" cy="163419"/>
    <xdr:sp macro="" textlink="">
      <xdr:nvSpPr>
        <xdr:cNvPr id="213" name="Text Box 1"/>
        <xdr:cNvSpPr txBox="1">
          <a:spLocks noChangeArrowheads="1"/>
        </xdr:cNvSpPr>
      </xdr:nvSpPr>
      <xdr:spPr bwMode="auto">
        <a:xfrm>
          <a:off x="190500" y="251412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658</xdr:row>
      <xdr:rowOff>152400</xdr:rowOff>
    </xdr:from>
    <xdr:ext cx="104775" cy="163419"/>
    <xdr:sp macro="" textlink="">
      <xdr:nvSpPr>
        <xdr:cNvPr id="214" name="Text Box 1"/>
        <xdr:cNvSpPr txBox="1">
          <a:spLocks noChangeArrowheads="1"/>
        </xdr:cNvSpPr>
      </xdr:nvSpPr>
      <xdr:spPr bwMode="auto">
        <a:xfrm>
          <a:off x="190500" y="251412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658</xdr:row>
      <xdr:rowOff>152400</xdr:rowOff>
    </xdr:from>
    <xdr:ext cx="104775" cy="163419"/>
    <xdr:sp macro="" textlink="">
      <xdr:nvSpPr>
        <xdr:cNvPr id="215" name="Text Box 1"/>
        <xdr:cNvSpPr txBox="1">
          <a:spLocks noChangeArrowheads="1"/>
        </xdr:cNvSpPr>
      </xdr:nvSpPr>
      <xdr:spPr bwMode="auto">
        <a:xfrm>
          <a:off x="190500" y="251412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658</xdr:row>
      <xdr:rowOff>152400</xdr:rowOff>
    </xdr:from>
    <xdr:ext cx="104775" cy="163419"/>
    <xdr:sp macro="" textlink="">
      <xdr:nvSpPr>
        <xdr:cNvPr id="216" name="Text Box 1"/>
        <xdr:cNvSpPr txBox="1">
          <a:spLocks noChangeArrowheads="1"/>
        </xdr:cNvSpPr>
      </xdr:nvSpPr>
      <xdr:spPr bwMode="auto">
        <a:xfrm>
          <a:off x="190500" y="251412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658</xdr:row>
      <xdr:rowOff>152400</xdr:rowOff>
    </xdr:from>
    <xdr:ext cx="104775" cy="163419"/>
    <xdr:sp macro="" textlink="">
      <xdr:nvSpPr>
        <xdr:cNvPr id="217" name="Text Box 1"/>
        <xdr:cNvSpPr txBox="1">
          <a:spLocks noChangeArrowheads="1"/>
        </xdr:cNvSpPr>
      </xdr:nvSpPr>
      <xdr:spPr bwMode="auto">
        <a:xfrm>
          <a:off x="190500" y="251412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700</xdr:row>
      <xdr:rowOff>152400</xdr:rowOff>
    </xdr:from>
    <xdr:ext cx="104775" cy="163419"/>
    <xdr:sp macro="" textlink="">
      <xdr:nvSpPr>
        <xdr:cNvPr id="218" name="Text Box 1"/>
        <xdr:cNvSpPr txBox="1">
          <a:spLocks noChangeArrowheads="1"/>
        </xdr:cNvSpPr>
      </xdr:nvSpPr>
      <xdr:spPr bwMode="auto">
        <a:xfrm>
          <a:off x="190500" y="2646330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700</xdr:row>
      <xdr:rowOff>152400</xdr:rowOff>
    </xdr:from>
    <xdr:ext cx="104775" cy="163419"/>
    <xdr:sp macro="" textlink="">
      <xdr:nvSpPr>
        <xdr:cNvPr id="219" name="Text Box 1"/>
        <xdr:cNvSpPr txBox="1">
          <a:spLocks noChangeArrowheads="1"/>
        </xdr:cNvSpPr>
      </xdr:nvSpPr>
      <xdr:spPr bwMode="auto">
        <a:xfrm>
          <a:off x="190500" y="2646330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700</xdr:row>
      <xdr:rowOff>152400</xdr:rowOff>
    </xdr:from>
    <xdr:ext cx="104775" cy="163419"/>
    <xdr:sp macro="" textlink="">
      <xdr:nvSpPr>
        <xdr:cNvPr id="220" name="Text Box 1"/>
        <xdr:cNvSpPr txBox="1">
          <a:spLocks noChangeArrowheads="1"/>
        </xdr:cNvSpPr>
      </xdr:nvSpPr>
      <xdr:spPr bwMode="auto">
        <a:xfrm>
          <a:off x="190500" y="2646330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700</xdr:row>
      <xdr:rowOff>152400</xdr:rowOff>
    </xdr:from>
    <xdr:ext cx="104775" cy="163419"/>
    <xdr:sp macro="" textlink="">
      <xdr:nvSpPr>
        <xdr:cNvPr id="221" name="Text Box 1"/>
        <xdr:cNvSpPr txBox="1">
          <a:spLocks noChangeArrowheads="1"/>
        </xdr:cNvSpPr>
      </xdr:nvSpPr>
      <xdr:spPr bwMode="auto">
        <a:xfrm>
          <a:off x="190500" y="2646330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700</xdr:row>
      <xdr:rowOff>152400</xdr:rowOff>
    </xdr:from>
    <xdr:ext cx="104775" cy="163419"/>
    <xdr:sp macro="" textlink="">
      <xdr:nvSpPr>
        <xdr:cNvPr id="222" name="Text Box 1"/>
        <xdr:cNvSpPr txBox="1">
          <a:spLocks noChangeArrowheads="1"/>
        </xdr:cNvSpPr>
      </xdr:nvSpPr>
      <xdr:spPr bwMode="auto">
        <a:xfrm>
          <a:off x="190500" y="2646330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700</xdr:row>
      <xdr:rowOff>152400</xdr:rowOff>
    </xdr:from>
    <xdr:ext cx="104775" cy="163419"/>
    <xdr:sp macro="" textlink="">
      <xdr:nvSpPr>
        <xdr:cNvPr id="223" name="Text Box 1"/>
        <xdr:cNvSpPr txBox="1">
          <a:spLocks noChangeArrowheads="1"/>
        </xdr:cNvSpPr>
      </xdr:nvSpPr>
      <xdr:spPr bwMode="auto">
        <a:xfrm>
          <a:off x="190500" y="2646330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700</xdr:row>
      <xdr:rowOff>152400</xdr:rowOff>
    </xdr:from>
    <xdr:ext cx="104775" cy="163419"/>
    <xdr:sp macro="" textlink="">
      <xdr:nvSpPr>
        <xdr:cNvPr id="224" name="Text Box 1"/>
        <xdr:cNvSpPr txBox="1">
          <a:spLocks noChangeArrowheads="1"/>
        </xdr:cNvSpPr>
      </xdr:nvSpPr>
      <xdr:spPr bwMode="auto">
        <a:xfrm>
          <a:off x="190500" y="2646330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700</xdr:row>
      <xdr:rowOff>152400</xdr:rowOff>
    </xdr:from>
    <xdr:ext cx="104775" cy="163419"/>
    <xdr:sp macro="" textlink="">
      <xdr:nvSpPr>
        <xdr:cNvPr id="225" name="Text Box 1"/>
        <xdr:cNvSpPr txBox="1">
          <a:spLocks noChangeArrowheads="1"/>
        </xdr:cNvSpPr>
      </xdr:nvSpPr>
      <xdr:spPr bwMode="auto">
        <a:xfrm>
          <a:off x="190500" y="2646330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700</xdr:row>
      <xdr:rowOff>152400</xdr:rowOff>
    </xdr:from>
    <xdr:ext cx="104775" cy="163419"/>
    <xdr:sp macro="" textlink="">
      <xdr:nvSpPr>
        <xdr:cNvPr id="226" name="Text Box 1"/>
        <xdr:cNvSpPr txBox="1">
          <a:spLocks noChangeArrowheads="1"/>
        </xdr:cNvSpPr>
      </xdr:nvSpPr>
      <xdr:spPr bwMode="auto">
        <a:xfrm>
          <a:off x="190500" y="2646330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700</xdr:row>
      <xdr:rowOff>152400</xdr:rowOff>
    </xdr:from>
    <xdr:ext cx="104775" cy="163419"/>
    <xdr:sp macro="" textlink="">
      <xdr:nvSpPr>
        <xdr:cNvPr id="227" name="Text Box 1"/>
        <xdr:cNvSpPr txBox="1">
          <a:spLocks noChangeArrowheads="1"/>
        </xdr:cNvSpPr>
      </xdr:nvSpPr>
      <xdr:spPr bwMode="auto">
        <a:xfrm>
          <a:off x="190500" y="2646330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700</xdr:row>
      <xdr:rowOff>152400</xdr:rowOff>
    </xdr:from>
    <xdr:ext cx="104775" cy="163419"/>
    <xdr:sp macro="" textlink="">
      <xdr:nvSpPr>
        <xdr:cNvPr id="228" name="Text Box 1"/>
        <xdr:cNvSpPr txBox="1">
          <a:spLocks noChangeArrowheads="1"/>
        </xdr:cNvSpPr>
      </xdr:nvSpPr>
      <xdr:spPr bwMode="auto">
        <a:xfrm>
          <a:off x="190500" y="2646330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700</xdr:row>
      <xdr:rowOff>152400</xdr:rowOff>
    </xdr:from>
    <xdr:ext cx="104775" cy="163419"/>
    <xdr:sp macro="" textlink="">
      <xdr:nvSpPr>
        <xdr:cNvPr id="229" name="Text Box 1"/>
        <xdr:cNvSpPr txBox="1">
          <a:spLocks noChangeArrowheads="1"/>
        </xdr:cNvSpPr>
      </xdr:nvSpPr>
      <xdr:spPr bwMode="auto">
        <a:xfrm>
          <a:off x="190500" y="2646330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700</xdr:row>
      <xdr:rowOff>152400</xdr:rowOff>
    </xdr:from>
    <xdr:ext cx="104775" cy="163419"/>
    <xdr:sp macro="" textlink="">
      <xdr:nvSpPr>
        <xdr:cNvPr id="230" name="Text Box 1"/>
        <xdr:cNvSpPr txBox="1">
          <a:spLocks noChangeArrowheads="1"/>
        </xdr:cNvSpPr>
      </xdr:nvSpPr>
      <xdr:spPr bwMode="auto">
        <a:xfrm>
          <a:off x="190500" y="2646330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700</xdr:row>
      <xdr:rowOff>152400</xdr:rowOff>
    </xdr:from>
    <xdr:ext cx="104775" cy="163419"/>
    <xdr:sp macro="" textlink="">
      <xdr:nvSpPr>
        <xdr:cNvPr id="231" name="Text Box 1"/>
        <xdr:cNvSpPr txBox="1">
          <a:spLocks noChangeArrowheads="1"/>
        </xdr:cNvSpPr>
      </xdr:nvSpPr>
      <xdr:spPr bwMode="auto">
        <a:xfrm>
          <a:off x="190500" y="2646330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700</xdr:row>
      <xdr:rowOff>152400</xdr:rowOff>
    </xdr:from>
    <xdr:ext cx="104775" cy="163419"/>
    <xdr:sp macro="" textlink="">
      <xdr:nvSpPr>
        <xdr:cNvPr id="232" name="Text Box 1"/>
        <xdr:cNvSpPr txBox="1">
          <a:spLocks noChangeArrowheads="1"/>
        </xdr:cNvSpPr>
      </xdr:nvSpPr>
      <xdr:spPr bwMode="auto">
        <a:xfrm>
          <a:off x="190500" y="2646330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700</xdr:row>
      <xdr:rowOff>152400</xdr:rowOff>
    </xdr:from>
    <xdr:ext cx="104775" cy="163419"/>
    <xdr:sp macro="" textlink="">
      <xdr:nvSpPr>
        <xdr:cNvPr id="233" name="Text Box 1"/>
        <xdr:cNvSpPr txBox="1">
          <a:spLocks noChangeArrowheads="1"/>
        </xdr:cNvSpPr>
      </xdr:nvSpPr>
      <xdr:spPr bwMode="auto">
        <a:xfrm>
          <a:off x="190500" y="2646330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700</xdr:row>
      <xdr:rowOff>152400</xdr:rowOff>
    </xdr:from>
    <xdr:ext cx="104775" cy="163419"/>
    <xdr:sp macro="" textlink="">
      <xdr:nvSpPr>
        <xdr:cNvPr id="234" name="Text Box 1"/>
        <xdr:cNvSpPr txBox="1">
          <a:spLocks noChangeArrowheads="1"/>
        </xdr:cNvSpPr>
      </xdr:nvSpPr>
      <xdr:spPr bwMode="auto">
        <a:xfrm>
          <a:off x="190500" y="2646330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700</xdr:row>
      <xdr:rowOff>152400</xdr:rowOff>
    </xdr:from>
    <xdr:ext cx="104775" cy="163419"/>
    <xdr:sp macro="" textlink="">
      <xdr:nvSpPr>
        <xdr:cNvPr id="235" name="Text Box 1"/>
        <xdr:cNvSpPr txBox="1">
          <a:spLocks noChangeArrowheads="1"/>
        </xdr:cNvSpPr>
      </xdr:nvSpPr>
      <xdr:spPr bwMode="auto">
        <a:xfrm>
          <a:off x="190500" y="2646330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700</xdr:row>
      <xdr:rowOff>152400</xdr:rowOff>
    </xdr:from>
    <xdr:ext cx="104775" cy="163419"/>
    <xdr:sp macro="" textlink="">
      <xdr:nvSpPr>
        <xdr:cNvPr id="236" name="Text Box 1"/>
        <xdr:cNvSpPr txBox="1">
          <a:spLocks noChangeArrowheads="1"/>
        </xdr:cNvSpPr>
      </xdr:nvSpPr>
      <xdr:spPr bwMode="auto">
        <a:xfrm>
          <a:off x="190500" y="2646330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700</xdr:row>
      <xdr:rowOff>152400</xdr:rowOff>
    </xdr:from>
    <xdr:ext cx="104775" cy="163419"/>
    <xdr:sp macro="" textlink="">
      <xdr:nvSpPr>
        <xdr:cNvPr id="237" name="Text Box 1"/>
        <xdr:cNvSpPr txBox="1">
          <a:spLocks noChangeArrowheads="1"/>
        </xdr:cNvSpPr>
      </xdr:nvSpPr>
      <xdr:spPr bwMode="auto">
        <a:xfrm>
          <a:off x="190500" y="2646330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1473</xdr:row>
      <xdr:rowOff>0</xdr:rowOff>
    </xdr:from>
    <xdr:ext cx="104775" cy="163419"/>
    <xdr:sp macro="" textlink="">
      <xdr:nvSpPr>
        <xdr:cNvPr id="2" name="Text Box 1">
          <a:extLst>
            <a:ext uri="{FF2B5EF4-FFF2-40B4-BE49-F238E27FC236}">
              <a16:creationId xmlns="" xmlns:a16="http://schemas.microsoft.com/office/drawing/2014/main" id="{00000000-0008-0000-0100-000002000000}"/>
            </a:ext>
          </a:extLst>
        </xdr:cNvPr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1473</xdr:row>
      <xdr:rowOff>0</xdr:rowOff>
    </xdr:from>
    <xdr:ext cx="104775" cy="163419"/>
    <xdr:sp macro="" textlink="">
      <xdr:nvSpPr>
        <xdr:cNvPr id="3" name="Text Box 1">
          <a:extLst>
            <a:ext uri="{FF2B5EF4-FFF2-40B4-BE49-F238E27FC236}">
              <a16:creationId xmlns="" xmlns:a16="http://schemas.microsoft.com/office/drawing/2014/main" id="{00000000-0008-0000-0100-000003000000}"/>
            </a:ext>
          </a:extLst>
        </xdr:cNvPr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1473</xdr:row>
      <xdr:rowOff>0</xdr:rowOff>
    </xdr:from>
    <xdr:ext cx="104775" cy="163419"/>
    <xdr:sp macro="" textlink="">
      <xdr:nvSpPr>
        <xdr:cNvPr id="4" name="Text Box 1">
          <a:extLst>
            <a:ext uri="{FF2B5EF4-FFF2-40B4-BE49-F238E27FC236}">
              <a16:creationId xmlns="" xmlns:a16="http://schemas.microsoft.com/office/drawing/2014/main" id="{00000000-0008-0000-0100-000004000000}"/>
            </a:ext>
          </a:extLst>
        </xdr:cNvPr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1473</xdr:row>
      <xdr:rowOff>0</xdr:rowOff>
    </xdr:from>
    <xdr:ext cx="104775" cy="163419"/>
    <xdr:sp macro="" textlink="">
      <xdr:nvSpPr>
        <xdr:cNvPr id="5" name="Text Box 1">
          <a:extLst>
            <a:ext uri="{FF2B5EF4-FFF2-40B4-BE49-F238E27FC236}">
              <a16:creationId xmlns="" xmlns:a16="http://schemas.microsoft.com/office/drawing/2014/main" id="{00000000-0008-0000-0100-000005000000}"/>
            </a:ext>
          </a:extLst>
        </xdr:cNvPr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1473</xdr:row>
      <xdr:rowOff>0</xdr:rowOff>
    </xdr:from>
    <xdr:ext cx="104775" cy="163419"/>
    <xdr:sp macro="" textlink="">
      <xdr:nvSpPr>
        <xdr:cNvPr id="6" name="Text Box 1">
          <a:extLst>
            <a:ext uri="{FF2B5EF4-FFF2-40B4-BE49-F238E27FC236}">
              <a16:creationId xmlns="" xmlns:a16="http://schemas.microsoft.com/office/drawing/2014/main" id="{00000000-0008-0000-0100-000006000000}"/>
            </a:ext>
          </a:extLst>
        </xdr:cNvPr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1473</xdr:row>
      <xdr:rowOff>0</xdr:rowOff>
    </xdr:from>
    <xdr:ext cx="104775" cy="163419"/>
    <xdr:sp macro="" textlink="">
      <xdr:nvSpPr>
        <xdr:cNvPr id="7" name="Text Box 1">
          <a:extLst>
            <a:ext uri="{FF2B5EF4-FFF2-40B4-BE49-F238E27FC236}">
              <a16:creationId xmlns="" xmlns:a16="http://schemas.microsoft.com/office/drawing/2014/main" id="{00000000-0008-0000-0100-000007000000}"/>
            </a:ext>
          </a:extLst>
        </xdr:cNvPr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1473</xdr:row>
      <xdr:rowOff>0</xdr:rowOff>
    </xdr:from>
    <xdr:ext cx="104775" cy="163419"/>
    <xdr:sp macro="" textlink="">
      <xdr:nvSpPr>
        <xdr:cNvPr id="8" name="Text Box 1">
          <a:extLst>
            <a:ext uri="{FF2B5EF4-FFF2-40B4-BE49-F238E27FC236}">
              <a16:creationId xmlns="" xmlns:a16="http://schemas.microsoft.com/office/drawing/2014/main" id="{00000000-0008-0000-0100-000008000000}"/>
            </a:ext>
          </a:extLst>
        </xdr:cNvPr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1473</xdr:row>
      <xdr:rowOff>0</xdr:rowOff>
    </xdr:from>
    <xdr:ext cx="104775" cy="163419"/>
    <xdr:sp macro="" textlink="">
      <xdr:nvSpPr>
        <xdr:cNvPr id="9" name="Text Box 1">
          <a:extLst>
            <a:ext uri="{FF2B5EF4-FFF2-40B4-BE49-F238E27FC236}">
              <a16:creationId xmlns="" xmlns:a16="http://schemas.microsoft.com/office/drawing/2014/main" id="{00000000-0008-0000-0100-000009000000}"/>
            </a:ext>
          </a:extLst>
        </xdr:cNvPr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1473</xdr:row>
      <xdr:rowOff>0</xdr:rowOff>
    </xdr:from>
    <xdr:ext cx="104775" cy="163419"/>
    <xdr:sp macro="" textlink="">
      <xdr:nvSpPr>
        <xdr:cNvPr id="10" name="Text Box 1">
          <a:extLst>
            <a:ext uri="{FF2B5EF4-FFF2-40B4-BE49-F238E27FC236}">
              <a16:creationId xmlns="" xmlns:a16="http://schemas.microsoft.com/office/drawing/2014/main" id="{00000000-0008-0000-0100-00000A000000}"/>
            </a:ext>
          </a:extLst>
        </xdr:cNvPr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1473</xdr:row>
      <xdr:rowOff>0</xdr:rowOff>
    </xdr:from>
    <xdr:ext cx="104775" cy="163419"/>
    <xdr:sp macro="" textlink="">
      <xdr:nvSpPr>
        <xdr:cNvPr id="11" name="Text Box 1">
          <a:extLst>
            <a:ext uri="{FF2B5EF4-FFF2-40B4-BE49-F238E27FC236}">
              <a16:creationId xmlns="" xmlns:a16="http://schemas.microsoft.com/office/drawing/2014/main" id="{00000000-0008-0000-0100-00000B000000}"/>
            </a:ext>
          </a:extLst>
        </xdr:cNvPr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1473</xdr:row>
      <xdr:rowOff>0</xdr:rowOff>
    </xdr:from>
    <xdr:ext cx="104775" cy="163419"/>
    <xdr:sp macro="" textlink="">
      <xdr:nvSpPr>
        <xdr:cNvPr id="12" name="Text Box 1">
          <a:extLst>
            <a:ext uri="{FF2B5EF4-FFF2-40B4-BE49-F238E27FC236}">
              <a16:creationId xmlns="" xmlns:a16="http://schemas.microsoft.com/office/drawing/2014/main" id="{00000000-0008-0000-0100-00000C000000}"/>
            </a:ext>
          </a:extLst>
        </xdr:cNvPr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1473</xdr:row>
      <xdr:rowOff>0</xdr:rowOff>
    </xdr:from>
    <xdr:ext cx="104775" cy="163419"/>
    <xdr:sp macro="" textlink="">
      <xdr:nvSpPr>
        <xdr:cNvPr id="13" name="Text Box 1">
          <a:extLst>
            <a:ext uri="{FF2B5EF4-FFF2-40B4-BE49-F238E27FC236}">
              <a16:creationId xmlns="" xmlns:a16="http://schemas.microsoft.com/office/drawing/2014/main" id="{00000000-0008-0000-0100-00000D000000}"/>
            </a:ext>
          </a:extLst>
        </xdr:cNvPr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1473</xdr:row>
      <xdr:rowOff>0</xdr:rowOff>
    </xdr:from>
    <xdr:ext cx="104775" cy="163419"/>
    <xdr:sp macro="" textlink="">
      <xdr:nvSpPr>
        <xdr:cNvPr id="14" name="Text Box 1">
          <a:extLst>
            <a:ext uri="{FF2B5EF4-FFF2-40B4-BE49-F238E27FC236}">
              <a16:creationId xmlns="" xmlns:a16="http://schemas.microsoft.com/office/drawing/2014/main" id="{00000000-0008-0000-0100-00000E000000}"/>
            </a:ext>
          </a:extLst>
        </xdr:cNvPr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1473</xdr:row>
      <xdr:rowOff>0</xdr:rowOff>
    </xdr:from>
    <xdr:ext cx="104775" cy="163419"/>
    <xdr:sp macro="" textlink="">
      <xdr:nvSpPr>
        <xdr:cNvPr id="15" name="Text Box 1">
          <a:extLst>
            <a:ext uri="{FF2B5EF4-FFF2-40B4-BE49-F238E27FC236}">
              <a16:creationId xmlns="" xmlns:a16="http://schemas.microsoft.com/office/drawing/2014/main" id="{00000000-0008-0000-0100-00000F000000}"/>
            </a:ext>
          </a:extLst>
        </xdr:cNvPr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1473</xdr:row>
      <xdr:rowOff>0</xdr:rowOff>
    </xdr:from>
    <xdr:ext cx="104775" cy="163419"/>
    <xdr:sp macro="" textlink="">
      <xdr:nvSpPr>
        <xdr:cNvPr id="16" name="Text Box 1">
          <a:extLst>
            <a:ext uri="{FF2B5EF4-FFF2-40B4-BE49-F238E27FC236}">
              <a16:creationId xmlns="" xmlns:a16="http://schemas.microsoft.com/office/drawing/2014/main" id="{00000000-0008-0000-0100-000010000000}"/>
            </a:ext>
          </a:extLst>
        </xdr:cNvPr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1473</xdr:row>
      <xdr:rowOff>0</xdr:rowOff>
    </xdr:from>
    <xdr:ext cx="104775" cy="163419"/>
    <xdr:sp macro="" textlink="">
      <xdr:nvSpPr>
        <xdr:cNvPr id="17" name="Text Box 1">
          <a:extLst>
            <a:ext uri="{FF2B5EF4-FFF2-40B4-BE49-F238E27FC236}">
              <a16:creationId xmlns="" xmlns:a16="http://schemas.microsoft.com/office/drawing/2014/main" id="{00000000-0008-0000-0100-000011000000}"/>
            </a:ext>
          </a:extLst>
        </xdr:cNvPr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1473</xdr:row>
      <xdr:rowOff>0</xdr:rowOff>
    </xdr:from>
    <xdr:ext cx="104775" cy="163419"/>
    <xdr:sp macro="" textlink="">
      <xdr:nvSpPr>
        <xdr:cNvPr id="18" name="Text Box 1">
          <a:extLst>
            <a:ext uri="{FF2B5EF4-FFF2-40B4-BE49-F238E27FC236}">
              <a16:creationId xmlns="" xmlns:a16="http://schemas.microsoft.com/office/drawing/2014/main" id="{00000000-0008-0000-0100-000012000000}"/>
            </a:ext>
          </a:extLst>
        </xdr:cNvPr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1473</xdr:row>
      <xdr:rowOff>0</xdr:rowOff>
    </xdr:from>
    <xdr:ext cx="104775" cy="163419"/>
    <xdr:sp macro="" textlink="">
      <xdr:nvSpPr>
        <xdr:cNvPr id="19" name="Text Box 1">
          <a:extLst>
            <a:ext uri="{FF2B5EF4-FFF2-40B4-BE49-F238E27FC236}">
              <a16:creationId xmlns="" xmlns:a16="http://schemas.microsoft.com/office/drawing/2014/main" id="{00000000-0008-0000-0100-000013000000}"/>
            </a:ext>
          </a:extLst>
        </xdr:cNvPr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1473</xdr:row>
      <xdr:rowOff>0</xdr:rowOff>
    </xdr:from>
    <xdr:ext cx="104775" cy="163419"/>
    <xdr:sp macro="" textlink="">
      <xdr:nvSpPr>
        <xdr:cNvPr id="20" name="Text Box 1">
          <a:extLst>
            <a:ext uri="{FF2B5EF4-FFF2-40B4-BE49-F238E27FC236}">
              <a16:creationId xmlns="" xmlns:a16="http://schemas.microsoft.com/office/drawing/2014/main" id="{00000000-0008-0000-0100-000014000000}"/>
            </a:ext>
          </a:extLst>
        </xdr:cNvPr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1473</xdr:row>
      <xdr:rowOff>0</xdr:rowOff>
    </xdr:from>
    <xdr:ext cx="104775" cy="163419"/>
    <xdr:sp macro="" textlink="">
      <xdr:nvSpPr>
        <xdr:cNvPr id="21" name="Text Box 1">
          <a:extLst>
            <a:ext uri="{FF2B5EF4-FFF2-40B4-BE49-F238E27FC236}">
              <a16:creationId xmlns="" xmlns:a16="http://schemas.microsoft.com/office/drawing/2014/main" id="{00000000-0008-0000-0100-000015000000}"/>
            </a:ext>
          </a:extLst>
        </xdr:cNvPr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1473</xdr:row>
      <xdr:rowOff>0</xdr:rowOff>
    </xdr:from>
    <xdr:ext cx="104775" cy="163419"/>
    <xdr:sp macro="" textlink="">
      <xdr:nvSpPr>
        <xdr:cNvPr id="22" name="Text Box 1">
          <a:extLst>
            <a:ext uri="{FF2B5EF4-FFF2-40B4-BE49-F238E27FC236}">
              <a16:creationId xmlns="" xmlns:a16="http://schemas.microsoft.com/office/drawing/2014/main" id="{00000000-0008-0000-0100-000016000000}"/>
            </a:ext>
          </a:extLst>
        </xdr:cNvPr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1473</xdr:row>
      <xdr:rowOff>0</xdr:rowOff>
    </xdr:from>
    <xdr:ext cx="104775" cy="163419"/>
    <xdr:sp macro="" textlink="">
      <xdr:nvSpPr>
        <xdr:cNvPr id="23" name="Text Box 1">
          <a:extLst>
            <a:ext uri="{FF2B5EF4-FFF2-40B4-BE49-F238E27FC236}">
              <a16:creationId xmlns="" xmlns:a16="http://schemas.microsoft.com/office/drawing/2014/main" id="{00000000-0008-0000-0100-000017000000}"/>
            </a:ext>
          </a:extLst>
        </xdr:cNvPr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1473</xdr:row>
      <xdr:rowOff>0</xdr:rowOff>
    </xdr:from>
    <xdr:ext cx="104775" cy="163419"/>
    <xdr:sp macro="" textlink="">
      <xdr:nvSpPr>
        <xdr:cNvPr id="24" name="Text Box 1">
          <a:extLst>
            <a:ext uri="{FF2B5EF4-FFF2-40B4-BE49-F238E27FC236}">
              <a16:creationId xmlns="" xmlns:a16="http://schemas.microsoft.com/office/drawing/2014/main" id="{00000000-0008-0000-0100-000018000000}"/>
            </a:ext>
          </a:extLst>
        </xdr:cNvPr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1473</xdr:row>
      <xdr:rowOff>0</xdr:rowOff>
    </xdr:from>
    <xdr:ext cx="104775" cy="163419"/>
    <xdr:sp macro="" textlink="">
      <xdr:nvSpPr>
        <xdr:cNvPr id="25" name="Text Box 1">
          <a:extLst>
            <a:ext uri="{FF2B5EF4-FFF2-40B4-BE49-F238E27FC236}">
              <a16:creationId xmlns="" xmlns:a16="http://schemas.microsoft.com/office/drawing/2014/main" id="{00000000-0008-0000-0100-000019000000}"/>
            </a:ext>
          </a:extLst>
        </xdr:cNvPr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1473</xdr:row>
      <xdr:rowOff>0</xdr:rowOff>
    </xdr:from>
    <xdr:ext cx="104775" cy="163419"/>
    <xdr:sp macro="" textlink="">
      <xdr:nvSpPr>
        <xdr:cNvPr id="26" name="Text Box 1">
          <a:extLst>
            <a:ext uri="{FF2B5EF4-FFF2-40B4-BE49-F238E27FC236}">
              <a16:creationId xmlns="" xmlns:a16="http://schemas.microsoft.com/office/drawing/2014/main" id="{00000000-0008-0000-0100-00001A000000}"/>
            </a:ext>
          </a:extLst>
        </xdr:cNvPr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1473</xdr:row>
      <xdr:rowOff>0</xdr:rowOff>
    </xdr:from>
    <xdr:ext cx="104775" cy="163419"/>
    <xdr:sp macro="" textlink="">
      <xdr:nvSpPr>
        <xdr:cNvPr id="27" name="Text Box 1">
          <a:extLst>
            <a:ext uri="{FF2B5EF4-FFF2-40B4-BE49-F238E27FC236}">
              <a16:creationId xmlns="" xmlns:a16="http://schemas.microsoft.com/office/drawing/2014/main" id="{00000000-0008-0000-0100-00001B000000}"/>
            </a:ext>
          </a:extLst>
        </xdr:cNvPr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1473</xdr:row>
      <xdr:rowOff>0</xdr:rowOff>
    </xdr:from>
    <xdr:ext cx="104775" cy="163419"/>
    <xdr:sp macro="" textlink="">
      <xdr:nvSpPr>
        <xdr:cNvPr id="28" name="Text Box 1">
          <a:extLst>
            <a:ext uri="{FF2B5EF4-FFF2-40B4-BE49-F238E27FC236}">
              <a16:creationId xmlns="" xmlns:a16="http://schemas.microsoft.com/office/drawing/2014/main" id="{00000000-0008-0000-0100-00001C000000}"/>
            </a:ext>
          </a:extLst>
        </xdr:cNvPr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1473</xdr:row>
      <xdr:rowOff>0</xdr:rowOff>
    </xdr:from>
    <xdr:ext cx="104775" cy="163419"/>
    <xdr:sp macro="" textlink="">
      <xdr:nvSpPr>
        <xdr:cNvPr id="29" name="Text Box 1">
          <a:extLst>
            <a:ext uri="{FF2B5EF4-FFF2-40B4-BE49-F238E27FC236}">
              <a16:creationId xmlns="" xmlns:a16="http://schemas.microsoft.com/office/drawing/2014/main" id="{00000000-0008-0000-0100-00001D000000}"/>
            </a:ext>
          </a:extLst>
        </xdr:cNvPr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1473</xdr:row>
      <xdr:rowOff>0</xdr:rowOff>
    </xdr:from>
    <xdr:ext cx="104775" cy="163419"/>
    <xdr:sp macro="" textlink="">
      <xdr:nvSpPr>
        <xdr:cNvPr id="30" name="Text Box 1">
          <a:extLst>
            <a:ext uri="{FF2B5EF4-FFF2-40B4-BE49-F238E27FC236}">
              <a16:creationId xmlns="" xmlns:a16="http://schemas.microsoft.com/office/drawing/2014/main" id="{00000000-0008-0000-0100-00001E000000}"/>
            </a:ext>
          </a:extLst>
        </xdr:cNvPr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1473</xdr:row>
      <xdr:rowOff>0</xdr:rowOff>
    </xdr:from>
    <xdr:ext cx="104775" cy="163419"/>
    <xdr:sp macro="" textlink="">
      <xdr:nvSpPr>
        <xdr:cNvPr id="31" name="Text Box 1">
          <a:extLst>
            <a:ext uri="{FF2B5EF4-FFF2-40B4-BE49-F238E27FC236}">
              <a16:creationId xmlns="" xmlns:a16="http://schemas.microsoft.com/office/drawing/2014/main" id="{00000000-0008-0000-0100-00001F000000}"/>
            </a:ext>
          </a:extLst>
        </xdr:cNvPr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1473</xdr:row>
      <xdr:rowOff>0</xdr:rowOff>
    </xdr:from>
    <xdr:ext cx="104775" cy="163419"/>
    <xdr:sp macro="" textlink="">
      <xdr:nvSpPr>
        <xdr:cNvPr id="32" name="Text Box 1">
          <a:extLst>
            <a:ext uri="{FF2B5EF4-FFF2-40B4-BE49-F238E27FC236}">
              <a16:creationId xmlns="" xmlns:a16="http://schemas.microsoft.com/office/drawing/2014/main" id="{00000000-0008-0000-0100-000020000000}"/>
            </a:ext>
          </a:extLst>
        </xdr:cNvPr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1473</xdr:row>
      <xdr:rowOff>0</xdr:rowOff>
    </xdr:from>
    <xdr:ext cx="104775" cy="163419"/>
    <xdr:sp macro="" textlink="">
      <xdr:nvSpPr>
        <xdr:cNvPr id="33" name="Text Box 1">
          <a:extLst>
            <a:ext uri="{FF2B5EF4-FFF2-40B4-BE49-F238E27FC236}">
              <a16:creationId xmlns="" xmlns:a16="http://schemas.microsoft.com/office/drawing/2014/main" id="{00000000-0008-0000-0100-000021000000}"/>
            </a:ext>
          </a:extLst>
        </xdr:cNvPr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1473</xdr:row>
      <xdr:rowOff>0</xdr:rowOff>
    </xdr:from>
    <xdr:ext cx="104775" cy="163419"/>
    <xdr:sp macro="" textlink="">
      <xdr:nvSpPr>
        <xdr:cNvPr id="34" name="Text Box 1">
          <a:extLst>
            <a:ext uri="{FF2B5EF4-FFF2-40B4-BE49-F238E27FC236}">
              <a16:creationId xmlns="" xmlns:a16="http://schemas.microsoft.com/office/drawing/2014/main" id="{00000000-0008-0000-0100-000022000000}"/>
            </a:ext>
          </a:extLst>
        </xdr:cNvPr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1473</xdr:row>
      <xdr:rowOff>0</xdr:rowOff>
    </xdr:from>
    <xdr:ext cx="104775" cy="163419"/>
    <xdr:sp macro="" textlink="">
      <xdr:nvSpPr>
        <xdr:cNvPr id="35" name="Text Box 1">
          <a:extLst>
            <a:ext uri="{FF2B5EF4-FFF2-40B4-BE49-F238E27FC236}">
              <a16:creationId xmlns="" xmlns:a16="http://schemas.microsoft.com/office/drawing/2014/main" id="{00000000-0008-0000-0100-000023000000}"/>
            </a:ext>
          </a:extLst>
        </xdr:cNvPr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1473</xdr:row>
      <xdr:rowOff>0</xdr:rowOff>
    </xdr:from>
    <xdr:ext cx="104775" cy="163419"/>
    <xdr:sp macro="" textlink="">
      <xdr:nvSpPr>
        <xdr:cNvPr id="36" name="Text Box 1">
          <a:extLst>
            <a:ext uri="{FF2B5EF4-FFF2-40B4-BE49-F238E27FC236}">
              <a16:creationId xmlns="" xmlns:a16="http://schemas.microsoft.com/office/drawing/2014/main" id="{00000000-0008-0000-0100-000024000000}"/>
            </a:ext>
          </a:extLst>
        </xdr:cNvPr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1473</xdr:row>
      <xdr:rowOff>0</xdr:rowOff>
    </xdr:from>
    <xdr:ext cx="104775" cy="163419"/>
    <xdr:sp macro="" textlink="">
      <xdr:nvSpPr>
        <xdr:cNvPr id="37" name="Text Box 1">
          <a:extLst>
            <a:ext uri="{FF2B5EF4-FFF2-40B4-BE49-F238E27FC236}">
              <a16:creationId xmlns="" xmlns:a16="http://schemas.microsoft.com/office/drawing/2014/main" id="{00000000-0008-0000-0100-000025000000}"/>
            </a:ext>
          </a:extLst>
        </xdr:cNvPr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1473</xdr:row>
      <xdr:rowOff>0</xdr:rowOff>
    </xdr:from>
    <xdr:ext cx="104775" cy="163419"/>
    <xdr:sp macro="" textlink="">
      <xdr:nvSpPr>
        <xdr:cNvPr id="38" name="Text Box 1">
          <a:extLst>
            <a:ext uri="{FF2B5EF4-FFF2-40B4-BE49-F238E27FC236}">
              <a16:creationId xmlns="" xmlns:a16="http://schemas.microsoft.com/office/drawing/2014/main" id="{00000000-0008-0000-0100-000026000000}"/>
            </a:ext>
          </a:extLst>
        </xdr:cNvPr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1473</xdr:row>
      <xdr:rowOff>0</xdr:rowOff>
    </xdr:from>
    <xdr:ext cx="104775" cy="163419"/>
    <xdr:sp macro="" textlink="">
      <xdr:nvSpPr>
        <xdr:cNvPr id="39" name="Text Box 1">
          <a:extLst>
            <a:ext uri="{FF2B5EF4-FFF2-40B4-BE49-F238E27FC236}">
              <a16:creationId xmlns="" xmlns:a16="http://schemas.microsoft.com/office/drawing/2014/main" id="{00000000-0008-0000-0100-000027000000}"/>
            </a:ext>
          </a:extLst>
        </xdr:cNvPr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1473</xdr:row>
      <xdr:rowOff>0</xdr:rowOff>
    </xdr:from>
    <xdr:ext cx="104775" cy="163419"/>
    <xdr:sp macro="" textlink="">
      <xdr:nvSpPr>
        <xdr:cNvPr id="40" name="Text Box 1">
          <a:extLst>
            <a:ext uri="{FF2B5EF4-FFF2-40B4-BE49-F238E27FC236}">
              <a16:creationId xmlns="" xmlns:a16="http://schemas.microsoft.com/office/drawing/2014/main" id="{00000000-0008-0000-0100-000028000000}"/>
            </a:ext>
          </a:extLst>
        </xdr:cNvPr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1473</xdr:row>
      <xdr:rowOff>0</xdr:rowOff>
    </xdr:from>
    <xdr:ext cx="104775" cy="163419"/>
    <xdr:sp macro="" textlink="">
      <xdr:nvSpPr>
        <xdr:cNvPr id="41" name="Text Box 1">
          <a:extLst>
            <a:ext uri="{FF2B5EF4-FFF2-40B4-BE49-F238E27FC236}">
              <a16:creationId xmlns="" xmlns:a16="http://schemas.microsoft.com/office/drawing/2014/main" id="{00000000-0008-0000-0100-000029000000}"/>
            </a:ext>
          </a:extLst>
        </xdr:cNvPr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1473</xdr:row>
      <xdr:rowOff>0</xdr:rowOff>
    </xdr:from>
    <xdr:ext cx="104775" cy="163419"/>
    <xdr:sp macro="" textlink="">
      <xdr:nvSpPr>
        <xdr:cNvPr id="42" name="Text Box 1">
          <a:extLst>
            <a:ext uri="{FF2B5EF4-FFF2-40B4-BE49-F238E27FC236}">
              <a16:creationId xmlns="" xmlns:a16="http://schemas.microsoft.com/office/drawing/2014/main" id="{00000000-0008-0000-0100-00002A000000}"/>
            </a:ext>
          </a:extLst>
        </xdr:cNvPr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1473</xdr:row>
      <xdr:rowOff>0</xdr:rowOff>
    </xdr:from>
    <xdr:ext cx="104775" cy="163419"/>
    <xdr:sp macro="" textlink="">
      <xdr:nvSpPr>
        <xdr:cNvPr id="43" name="Text Box 1">
          <a:extLst>
            <a:ext uri="{FF2B5EF4-FFF2-40B4-BE49-F238E27FC236}">
              <a16:creationId xmlns="" xmlns:a16="http://schemas.microsoft.com/office/drawing/2014/main" id="{00000000-0008-0000-0100-00002B000000}"/>
            </a:ext>
          </a:extLst>
        </xdr:cNvPr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1473</xdr:row>
      <xdr:rowOff>0</xdr:rowOff>
    </xdr:from>
    <xdr:ext cx="104775" cy="163419"/>
    <xdr:sp macro="" textlink="">
      <xdr:nvSpPr>
        <xdr:cNvPr id="44" name="Text Box 1">
          <a:extLst>
            <a:ext uri="{FF2B5EF4-FFF2-40B4-BE49-F238E27FC236}">
              <a16:creationId xmlns="" xmlns:a16="http://schemas.microsoft.com/office/drawing/2014/main" id="{00000000-0008-0000-0100-00002C000000}"/>
            </a:ext>
          </a:extLst>
        </xdr:cNvPr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1473</xdr:row>
      <xdr:rowOff>0</xdr:rowOff>
    </xdr:from>
    <xdr:ext cx="104775" cy="163419"/>
    <xdr:sp macro="" textlink="">
      <xdr:nvSpPr>
        <xdr:cNvPr id="45" name="Text Box 1">
          <a:extLst>
            <a:ext uri="{FF2B5EF4-FFF2-40B4-BE49-F238E27FC236}">
              <a16:creationId xmlns="" xmlns:a16="http://schemas.microsoft.com/office/drawing/2014/main" id="{00000000-0008-0000-0100-00002D000000}"/>
            </a:ext>
          </a:extLst>
        </xdr:cNvPr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1473</xdr:row>
      <xdr:rowOff>0</xdr:rowOff>
    </xdr:from>
    <xdr:ext cx="104775" cy="163419"/>
    <xdr:sp macro="" textlink="">
      <xdr:nvSpPr>
        <xdr:cNvPr id="46" name="Text Box 1">
          <a:extLst>
            <a:ext uri="{FF2B5EF4-FFF2-40B4-BE49-F238E27FC236}">
              <a16:creationId xmlns="" xmlns:a16="http://schemas.microsoft.com/office/drawing/2014/main" id="{00000000-0008-0000-0100-00002E000000}"/>
            </a:ext>
          </a:extLst>
        </xdr:cNvPr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1473</xdr:row>
      <xdr:rowOff>0</xdr:rowOff>
    </xdr:from>
    <xdr:ext cx="104775" cy="163419"/>
    <xdr:sp macro="" textlink="">
      <xdr:nvSpPr>
        <xdr:cNvPr id="47" name="Text Box 1">
          <a:extLst>
            <a:ext uri="{FF2B5EF4-FFF2-40B4-BE49-F238E27FC236}">
              <a16:creationId xmlns="" xmlns:a16="http://schemas.microsoft.com/office/drawing/2014/main" id="{00000000-0008-0000-0100-00002F000000}"/>
            </a:ext>
          </a:extLst>
        </xdr:cNvPr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1473</xdr:row>
      <xdr:rowOff>0</xdr:rowOff>
    </xdr:from>
    <xdr:ext cx="104775" cy="163419"/>
    <xdr:sp macro="" textlink="">
      <xdr:nvSpPr>
        <xdr:cNvPr id="48" name="Text Box 1">
          <a:extLst>
            <a:ext uri="{FF2B5EF4-FFF2-40B4-BE49-F238E27FC236}">
              <a16:creationId xmlns="" xmlns:a16="http://schemas.microsoft.com/office/drawing/2014/main" id="{00000000-0008-0000-0100-000030000000}"/>
            </a:ext>
          </a:extLst>
        </xdr:cNvPr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1473</xdr:row>
      <xdr:rowOff>0</xdr:rowOff>
    </xdr:from>
    <xdr:ext cx="104775" cy="163419"/>
    <xdr:sp macro="" textlink="">
      <xdr:nvSpPr>
        <xdr:cNvPr id="49" name="Text Box 1">
          <a:extLst>
            <a:ext uri="{FF2B5EF4-FFF2-40B4-BE49-F238E27FC236}">
              <a16:creationId xmlns="" xmlns:a16="http://schemas.microsoft.com/office/drawing/2014/main" id="{00000000-0008-0000-0100-000031000000}"/>
            </a:ext>
          </a:extLst>
        </xdr:cNvPr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1473</xdr:row>
      <xdr:rowOff>0</xdr:rowOff>
    </xdr:from>
    <xdr:ext cx="104775" cy="163419"/>
    <xdr:sp macro="" textlink="">
      <xdr:nvSpPr>
        <xdr:cNvPr id="50" name="Text Box 1">
          <a:extLst>
            <a:ext uri="{FF2B5EF4-FFF2-40B4-BE49-F238E27FC236}">
              <a16:creationId xmlns="" xmlns:a16="http://schemas.microsoft.com/office/drawing/2014/main" id="{00000000-0008-0000-0100-000032000000}"/>
            </a:ext>
          </a:extLst>
        </xdr:cNvPr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1473</xdr:row>
      <xdr:rowOff>0</xdr:rowOff>
    </xdr:from>
    <xdr:ext cx="104775" cy="163419"/>
    <xdr:sp macro="" textlink="">
      <xdr:nvSpPr>
        <xdr:cNvPr id="51" name="Text Box 1">
          <a:extLst>
            <a:ext uri="{FF2B5EF4-FFF2-40B4-BE49-F238E27FC236}">
              <a16:creationId xmlns="" xmlns:a16="http://schemas.microsoft.com/office/drawing/2014/main" id="{00000000-0008-0000-0100-000033000000}"/>
            </a:ext>
          </a:extLst>
        </xdr:cNvPr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1473</xdr:row>
      <xdr:rowOff>0</xdr:rowOff>
    </xdr:from>
    <xdr:ext cx="104775" cy="163419"/>
    <xdr:sp macro="" textlink="">
      <xdr:nvSpPr>
        <xdr:cNvPr id="52" name="Text Box 1">
          <a:extLst>
            <a:ext uri="{FF2B5EF4-FFF2-40B4-BE49-F238E27FC236}">
              <a16:creationId xmlns="" xmlns:a16="http://schemas.microsoft.com/office/drawing/2014/main" id="{00000000-0008-0000-0100-000034000000}"/>
            </a:ext>
          </a:extLst>
        </xdr:cNvPr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1473</xdr:row>
      <xdr:rowOff>0</xdr:rowOff>
    </xdr:from>
    <xdr:ext cx="104775" cy="163419"/>
    <xdr:sp macro="" textlink="">
      <xdr:nvSpPr>
        <xdr:cNvPr id="53" name="Text Box 1">
          <a:extLst>
            <a:ext uri="{FF2B5EF4-FFF2-40B4-BE49-F238E27FC236}">
              <a16:creationId xmlns="" xmlns:a16="http://schemas.microsoft.com/office/drawing/2014/main" id="{00000000-0008-0000-0100-000035000000}"/>
            </a:ext>
          </a:extLst>
        </xdr:cNvPr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1473</xdr:row>
      <xdr:rowOff>0</xdr:rowOff>
    </xdr:from>
    <xdr:ext cx="104775" cy="163419"/>
    <xdr:sp macro="" textlink="">
      <xdr:nvSpPr>
        <xdr:cNvPr id="54" name="Text Box 1">
          <a:extLst>
            <a:ext uri="{FF2B5EF4-FFF2-40B4-BE49-F238E27FC236}">
              <a16:creationId xmlns="" xmlns:a16="http://schemas.microsoft.com/office/drawing/2014/main" id="{00000000-0008-0000-0100-000036000000}"/>
            </a:ext>
          </a:extLst>
        </xdr:cNvPr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1473</xdr:row>
      <xdr:rowOff>0</xdr:rowOff>
    </xdr:from>
    <xdr:ext cx="104775" cy="163419"/>
    <xdr:sp macro="" textlink="">
      <xdr:nvSpPr>
        <xdr:cNvPr id="55" name="Text Box 1">
          <a:extLst>
            <a:ext uri="{FF2B5EF4-FFF2-40B4-BE49-F238E27FC236}">
              <a16:creationId xmlns="" xmlns:a16="http://schemas.microsoft.com/office/drawing/2014/main" id="{00000000-0008-0000-0100-000037000000}"/>
            </a:ext>
          </a:extLst>
        </xdr:cNvPr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1473</xdr:row>
      <xdr:rowOff>0</xdr:rowOff>
    </xdr:from>
    <xdr:ext cx="104775" cy="163419"/>
    <xdr:sp macro="" textlink="">
      <xdr:nvSpPr>
        <xdr:cNvPr id="56" name="Text Box 1">
          <a:extLst>
            <a:ext uri="{FF2B5EF4-FFF2-40B4-BE49-F238E27FC236}">
              <a16:creationId xmlns="" xmlns:a16="http://schemas.microsoft.com/office/drawing/2014/main" id="{00000000-0008-0000-0100-000038000000}"/>
            </a:ext>
          </a:extLst>
        </xdr:cNvPr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1473</xdr:row>
      <xdr:rowOff>0</xdr:rowOff>
    </xdr:from>
    <xdr:ext cx="104775" cy="163419"/>
    <xdr:sp macro="" textlink="">
      <xdr:nvSpPr>
        <xdr:cNvPr id="57" name="Text Box 1">
          <a:extLst>
            <a:ext uri="{FF2B5EF4-FFF2-40B4-BE49-F238E27FC236}">
              <a16:creationId xmlns="" xmlns:a16="http://schemas.microsoft.com/office/drawing/2014/main" id="{00000000-0008-0000-0100-000039000000}"/>
            </a:ext>
          </a:extLst>
        </xdr:cNvPr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1473</xdr:row>
      <xdr:rowOff>0</xdr:rowOff>
    </xdr:from>
    <xdr:ext cx="104775" cy="163419"/>
    <xdr:sp macro="" textlink="">
      <xdr:nvSpPr>
        <xdr:cNvPr id="58" name="Text Box 1">
          <a:extLst>
            <a:ext uri="{FF2B5EF4-FFF2-40B4-BE49-F238E27FC236}">
              <a16:creationId xmlns="" xmlns:a16="http://schemas.microsoft.com/office/drawing/2014/main" id="{00000000-0008-0000-0100-00003A000000}"/>
            </a:ext>
          </a:extLst>
        </xdr:cNvPr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1473</xdr:row>
      <xdr:rowOff>0</xdr:rowOff>
    </xdr:from>
    <xdr:ext cx="104775" cy="163419"/>
    <xdr:sp macro="" textlink="">
      <xdr:nvSpPr>
        <xdr:cNvPr id="59" name="Text Box 1">
          <a:extLst>
            <a:ext uri="{FF2B5EF4-FFF2-40B4-BE49-F238E27FC236}">
              <a16:creationId xmlns="" xmlns:a16="http://schemas.microsoft.com/office/drawing/2014/main" id="{00000000-0008-0000-0100-00003B000000}"/>
            </a:ext>
          </a:extLst>
        </xdr:cNvPr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1473</xdr:row>
      <xdr:rowOff>0</xdr:rowOff>
    </xdr:from>
    <xdr:ext cx="104775" cy="163419"/>
    <xdr:sp macro="" textlink="">
      <xdr:nvSpPr>
        <xdr:cNvPr id="60" name="Text Box 1">
          <a:extLst>
            <a:ext uri="{FF2B5EF4-FFF2-40B4-BE49-F238E27FC236}">
              <a16:creationId xmlns="" xmlns:a16="http://schemas.microsoft.com/office/drawing/2014/main" id="{00000000-0008-0000-0100-00003C000000}"/>
            </a:ext>
          </a:extLst>
        </xdr:cNvPr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1473</xdr:row>
      <xdr:rowOff>0</xdr:rowOff>
    </xdr:from>
    <xdr:ext cx="104775" cy="163419"/>
    <xdr:sp macro="" textlink="">
      <xdr:nvSpPr>
        <xdr:cNvPr id="61" name="Text Box 1">
          <a:extLst>
            <a:ext uri="{FF2B5EF4-FFF2-40B4-BE49-F238E27FC236}">
              <a16:creationId xmlns="" xmlns:a16="http://schemas.microsoft.com/office/drawing/2014/main" id="{00000000-0008-0000-0100-00003D000000}"/>
            </a:ext>
          </a:extLst>
        </xdr:cNvPr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156</xdr:row>
      <xdr:rowOff>152400</xdr:rowOff>
    </xdr:from>
    <xdr:ext cx="104775" cy="163419"/>
    <xdr:sp macro="" textlink="">
      <xdr:nvSpPr>
        <xdr:cNvPr id="62" name="Text Box 1"/>
        <xdr:cNvSpPr txBox="1">
          <a:spLocks noChangeArrowheads="1"/>
        </xdr:cNvSpPr>
      </xdr:nvSpPr>
      <xdr:spPr bwMode="auto">
        <a:xfrm>
          <a:off x="190500" y="355996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156</xdr:row>
      <xdr:rowOff>152400</xdr:rowOff>
    </xdr:from>
    <xdr:ext cx="104775" cy="163419"/>
    <xdr:sp macro="" textlink="">
      <xdr:nvSpPr>
        <xdr:cNvPr id="63" name="Text Box 1"/>
        <xdr:cNvSpPr txBox="1">
          <a:spLocks noChangeArrowheads="1"/>
        </xdr:cNvSpPr>
      </xdr:nvSpPr>
      <xdr:spPr bwMode="auto">
        <a:xfrm>
          <a:off x="190500" y="355996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156</xdr:row>
      <xdr:rowOff>152400</xdr:rowOff>
    </xdr:from>
    <xdr:ext cx="104775" cy="163419"/>
    <xdr:sp macro="" textlink="">
      <xdr:nvSpPr>
        <xdr:cNvPr id="64" name="Text Box 1"/>
        <xdr:cNvSpPr txBox="1">
          <a:spLocks noChangeArrowheads="1"/>
        </xdr:cNvSpPr>
      </xdr:nvSpPr>
      <xdr:spPr bwMode="auto">
        <a:xfrm>
          <a:off x="190500" y="355996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156</xdr:row>
      <xdr:rowOff>152400</xdr:rowOff>
    </xdr:from>
    <xdr:ext cx="104775" cy="163419"/>
    <xdr:sp macro="" textlink="">
      <xdr:nvSpPr>
        <xdr:cNvPr id="65" name="Text Box 1"/>
        <xdr:cNvSpPr txBox="1">
          <a:spLocks noChangeArrowheads="1"/>
        </xdr:cNvSpPr>
      </xdr:nvSpPr>
      <xdr:spPr bwMode="auto">
        <a:xfrm>
          <a:off x="190500" y="355996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156</xdr:row>
      <xdr:rowOff>152400</xdr:rowOff>
    </xdr:from>
    <xdr:ext cx="104775" cy="163419"/>
    <xdr:sp macro="" textlink="">
      <xdr:nvSpPr>
        <xdr:cNvPr id="66" name="Text Box 1"/>
        <xdr:cNvSpPr txBox="1">
          <a:spLocks noChangeArrowheads="1"/>
        </xdr:cNvSpPr>
      </xdr:nvSpPr>
      <xdr:spPr bwMode="auto">
        <a:xfrm>
          <a:off x="190500" y="355996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156</xdr:row>
      <xdr:rowOff>152400</xdr:rowOff>
    </xdr:from>
    <xdr:ext cx="104775" cy="163419"/>
    <xdr:sp macro="" textlink="">
      <xdr:nvSpPr>
        <xdr:cNvPr id="67" name="Text Box 1"/>
        <xdr:cNvSpPr txBox="1">
          <a:spLocks noChangeArrowheads="1"/>
        </xdr:cNvSpPr>
      </xdr:nvSpPr>
      <xdr:spPr bwMode="auto">
        <a:xfrm>
          <a:off x="190500" y="355996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156</xdr:row>
      <xdr:rowOff>152400</xdr:rowOff>
    </xdr:from>
    <xdr:ext cx="104775" cy="163419"/>
    <xdr:sp macro="" textlink="">
      <xdr:nvSpPr>
        <xdr:cNvPr id="68" name="Text Box 1"/>
        <xdr:cNvSpPr txBox="1">
          <a:spLocks noChangeArrowheads="1"/>
        </xdr:cNvSpPr>
      </xdr:nvSpPr>
      <xdr:spPr bwMode="auto">
        <a:xfrm>
          <a:off x="190500" y="355996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156</xdr:row>
      <xdr:rowOff>152400</xdr:rowOff>
    </xdr:from>
    <xdr:ext cx="104775" cy="163419"/>
    <xdr:sp macro="" textlink="">
      <xdr:nvSpPr>
        <xdr:cNvPr id="69" name="Text Box 1"/>
        <xdr:cNvSpPr txBox="1">
          <a:spLocks noChangeArrowheads="1"/>
        </xdr:cNvSpPr>
      </xdr:nvSpPr>
      <xdr:spPr bwMode="auto">
        <a:xfrm>
          <a:off x="190500" y="355996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156</xdr:row>
      <xdr:rowOff>152400</xdr:rowOff>
    </xdr:from>
    <xdr:ext cx="104775" cy="163419"/>
    <xdr:sp macro="" textlink="">
      <xdr:nvSpPr>
        <xdr:cNvPr id="70" name="Text Box 1"/>
        <xdr:cNvSpPr txBox="1">
          <a:spLocks noChangeArrowheads="1"/>
        </xdr:cNvSpPr>
      </xdr:nvSpPr>
      <xdr:spPr bwMode="auto">
        <a:xfrm>
          <a:off x="190500" y="355996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156</xdr:row>
      <xdr:rowOff>152400</xdr:rowOff>
    </xdr:from>
    <xdr:ext cx="104775" cy="163419"/>
    <xdr:sp macro="" textlink="">
      <xdr:nvSpPr>
        <xdr:cNvPr id="71" name="Text Box 1"/>
        <xdr:cNvSpPr txBox="1">
          <a:spLocks noChangeArrowheads="1"/>
        </xdr:cNvSpPr>
      </xdr:nvSpPr>
      <xdr:spPr bwMode="auto">
        <a:xfrm>
          <a:off x="190500" y="355996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156</xdr:row>
      <xdr:rowOff>152400</xdr:rowOff>
    </xdr:from>
    <xdr:ext cx="104775" cy="163419"/>
    <xdr:sp macro="" textlink="">
      <xdr:nvSpPr>
        <xdr:cNvPr id="72" name="Text Box 1"/>
        <xdr:cNvSpPr txBox="1">
          <a:spLocks noChangeArrowheads="1"/>
        </xdr:cNvSpPr>
      </xdr:nvSpPr>
      <xdr:spPr bwMode="auto">
        <a:xfrm>
          <a:off x="190500" y="355996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156</xdr:row>
      <xdr:rowOff>152400</xdr:rowOff>
    </xdr:from>
    <xdr:ext cx="104775" cy="163419"/>
    <xdr:sp macro="" textlink="">
      <xdr:nvSpPr>
        <xdr:cNvPr id="73" name="Text Box 1"/>
        <xdr:cNvSpPr txBox="1">
          <a:spLocks noChangeArrowheads="1"/>
        </xdr:cNvSpPr>
      </xdr:nvSpPr>
      <xdr:spPr bwMode="auto">
        <a:xfrm>
          <a:off x="190500" y="355996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156</xdr:row>
      <xdr:rowOff>152400</xdr:rowOff>
    </xdr:from>
    <xdr:ext cx="104775" cy="163419"/>
    <xdr:sp macro="" textlink="">
      <xdr:nvSpPr>
        <xdr:cNvPr id="74" name="Text Box 1"/>
        <xdr:cNvSpPr txBox="1">
          <a:spLocks noChangeArrowheads="1"/>
        </xdr:cNvSpPr>
      </xdr:nvSpPr>
      <xdr:spPr bwMode="auto">
        <a:xfrm>
          <a:off x="190500" y="355996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156</xdr:row>
      <xdr:rowOff>152400</xdr:rowOff>
    </xdr:from>
    <xdr:ext cx="104775" cy="163419"/>
    <xdr:sp macro="" textlink="">
      <xdr:nvSpPr>
        <xdr:cNvPr id="75" name="Text Box 1"/>
        <xdr:cNvSpPr txBox="1">
          <a:spLocks noChangeArrowheads="1"/>
        </xdr:cNvSpPr>
      </xdr:nvSpPr>
      <xdr:spPr bwMode="auto">
        <a:xfrm>
          <a:off x="190500" y="355996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156</xdr:row>
      <xdr:rowOff>152400</xdr:rowOff>
    </xdr:from>
    <xdr:ext cx="104775" cy="163419"/>
    <xdr:sp macro="" textlink="">
      <xdr:nvSpPr>
        <xdr:cNvPr id="76" name="Text Box 1"/>
        <xdr:cNvSpPr txBox="1">
          <a:spLocks noChangeArrowheads="1"/>
        </xdr:cNvSpPr>
      </xdr:nvSpPr>
      <xdr:spPr bwMode="auto">
        <a:xfrm>
          <a:off x="190500" y="355996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156</xdr:row>
      <xdr:rowOff>152400</xdr:rowOff>
    </xdr:from>
    <xdr:ext cx="104775" cy="163419"/>
    <xdr:sp macro="" textlink="">
      <xdr:nvSpPr>
        <xdr:cNvPr id="77" name="Text Box 1"/>
        <xdr:cNvSpPr txBox="1">
          <a:spLocks noChangeArrowheads="1"/>
        </xdr:cNvSpPr>
      </xdr:nvSpPr>
      <xdr:spPr bwMode="auto">
        <a:xfrm>
          <a:off x="190500" y="355996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156</xdr:row>
      <xdr:rowOff>152400</xdr:rowOff>
    </xdr:from>
    <xdr:ext cx="104775" cy="163419"/>
    <xdr:sp macro="" textlink="">
      <xdr:nvSpPr>
        <xdr:cNvPr id="78" name="Text Box 1"/>
        <xdr:cNvSpPr txBox="1">
          <a:spLocks noChangeArrowheads="1"/>
        </xdr:cNvSpPr>
      </xdr:nvSpPr>
      <xdr:spPr bwMode="auto">
        <a:xfrm>
          <a:off x="190500" y="355996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156</xdr:row>
      <xdr:rowOff>152400</xdr:rowOff>
    </xdr:from>
    <xdr:ext cx="104775" cy="163419"/>
    <xdr:sp macro="" textlink="">
      <xdr:nvSpPr>
        <xdr:cNvPr id="79" name="Text Box 1"/>
        <xdr:cNvSpPr txBox="1">
          <a:spLocks noChangeArrowheads="1"/>
        </xdr:cNvSpPr>
      </xdr:nvSpPr>
      <xdr:spPr bwMode="auto">
        <a:xfrm>
          <a:off x="190500" y="355996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156</xdr:row>
      <xdr:rowOff>152400</xdr:rowOff>
    </xdr:from>
    <xdr:ext cx="104775" cy="163419"/>
    <xdr:sp macro="" textlink="">
      <xdr:nvSpPr>
        <xdr:cNvPr id="80" name="Text Box 1"/>
        <xdr:cNvSpPr txBox="1">
          <a:spLocks noChangeArrowheads="1"/>
        </xdr:cNvSpPr>
      </xdr:nvSpPr>
      <xdr:spPr bwMode="auto">
        <a:xfrm>
          <a:off x="190500" y="355996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156</xdr:row>
      <xdr:rowOff>152400</xdr:rowOff>
    </xdr:from>
    <xdr:ext cx="104775" cy="163419"/>
    <xdr:sp macro="" textlink="">
      <xdr:nvSpPr>
        <xdr:cNvPr id="81" name="Text Box 1"/>
        <xdr:cNvSpPr txBox="1">
          <a:spLocks noChangeArrowheads="1"/>
        </xdr:cNvSpPr>
      </xdr:nvSpPr>
      <xdr:spPr bwMode="auto">
        <a:xfrm>
          <a:off x="190500" y="355996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  <sheetName val="Справочники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L1364"/>
  <sheetViews>
    <sheetView zoomScale="80" zoomScaleNormal="80" zoomScaleSheetLayoutView="115" workbookViewId="0">
      <pane xSplit="3" ySplit="8" topLeftCell="D475" activePane="bottomRight" state="frozen"/>
      <selection activeCell="J575" sqref="J575"/>
      <selection pane="topRight" activeCell="J575" sqref="J575"/>
      <selection pane="bottomLeft" activeCell="J575" sqref="J575"/>
      <selection pane="bottomRight" activeCell="T476" sqref="T476"/>
    </sheetView>
  </sheetViews>
  <sheetFormatPr defaultColWidth="9.140625" defaultRowHeight="15" x14ac:dyDescent="0.25"/>
  <cols>
    <col min="1" max="1" width="2.28515625" style="104" hidden="1" customWidth="1"/>
    <col min="2" max="2" width="11.7109375" style="104" hidden="1" customWidth="1"/>
    <col min="3" max="3" width="45" style="104" customWidth="1"/>
    <col min="4" max="4" width="12" style="104" customWidth="1"/>
    <col min="5" max="5" width="14.28515625" style="118" customWidth="1"/>
    <col min="6" max="6" width="12.140625" style="104" customWidth="1"/>
    <col min="7" max="7" width="9.28515625" style="104" customWidth="1"/>
    <col min="8" max="8" width="15.28515625" style="104" customWidth="1"/>
    <col min="9" max="9" width="10.5703125" style="104" customWidth="1"/>
    <col min="10" max="10" width="15.28515625" style="104" customWidth="1"/>
    <col min="11" max="11" width="14.5703125" style="104" customWidth="1"/>
    <col min="12" max="12" width="13" style="104" customWidth="1"/>
    <col min="13" max="16384" width="9.140625" style="104"/>
  </cols>
  <sheetData>
    <row r="1" spans="1:9" ht="15.75" customHeight="1" x14ac:dyDescent="0.25">
      <c r="E1" s="105"/>
      <c r="F1" s="105"/>
      <c r="G1" s="690" t="s">
        <v>181</v>
      </c>
      <c r="H1" s="690"/>
    </row>
    <row r="2" spans="1:9" ht="30.75" customHeight="1" x14ac:dyDescent="0.25">
      <c r="E2" s="105"/>
      <c r="F2" s="691" t="s">
        <v>433</v>
      </c>
      <c r="G2" s="691"/>
      <c r="H2" s="691"/>
    </row>
    <row r="3" spans="1:9" s="3" customFormat="1" ht="15" customHeight="1" x14ac:dyDescent="0.25">
      <c r="C3" s="692" t="s">
        <v>352</v>
      </c>
      <c r="D3" s="693"/>
      <c r="E3" s="693"/>
      <c r="F3" s="693"/>
      <c r="G3" s="693"/>
      <c r="H3" s="693"/>
    </row>
    <row r="4" spans="1:9" s="3" customFormat="1" ht="31.5" customHeight="1" thickBot="1" x14ac:dyDescent="0.3">
      <c r="C4" s="693"/>
      <c r="D4" s="693"/>
      <c r="E4" s="693"/>
      <c r="F4" s="693"/>
      <c r="G4" s="693"/>
      <c r="H4" s="693"/>
    </row>
    <row r="5" spans="1:9" ht="21" customHeight="1" x14ac:dyDescent="0.3">
      <c r="C5" s="4" t="s">
        <v>106</v>
      </c>
      <c r="D5" s="697" t="s">
        <v>1</v>
      </c>
      <c r="E5" s="694" t="s">
        <v>360</v>
      </c>
      <c r="F5" s="703" t="s">
        <v>0</v>
      </c>
      <c r="G5" s="697" t="s">
        <v>2</v>
      </c>
      <c r="H5" s="700" t="s">
        <v>112</v>
      </c>
    </row>
    <row r="6" spans="1:9" ht="15.75" customHeight="1" x14ac:dyDescent="0.3">
      <c r="C6" s="5"/>
      <c r="D6" s="698"/>
      <c r="E6" s="695"/>
      <c r="F6" s="704"/>
      <c r="G6" s="698"/>
      <c r="H6" s="701"/>
    </row>
    <row r="7" spans="1:9" ht="54" customHeight="1" thickBot="1" x14ac:dyDescent="0.3">
      <c r="C7" s="6" t="s">
        <v>3</v>
      </c>
      <c r="D7" s="699"/>
      <c r="E7" s="696"/>
      <c r="F7" s="705"/>
      <c r="G7" s="699"/>
      <c r="H7" s="702"/>
      <c r="I7" s="105"/>
    </row>
    <row r="8" spans="1:9" s="106" customFormat="1" ht="15.75" thickBot="1" x14ac:dyDescent="0.3">
      <c r="C8" s="7">
        <v>1</v>
      </c>
      <c r="D8" s="8">
        <v>2</v>
      </c>
      <c r="E8" s="107">
        <v>3</v>
      </c>
      <c r="F8" s="108">
        <v>4</v>
      </c>
      <c r="G8" s="108">
        <v>5</v>
      </c>
      <c r="H8" s="108">
        <v>6</v>
      </c>
    </row>
    <row r="9" spans="1:9" ht="49.5" hidden="1" customHeight="1" x14ac:dyDescent="0.25">
      <c r="A9" s="104">
        <v>1</v>
      </c>
      <c r="B9" s="109" t="s">
        <v>222</v>
      </c>
      <c r="C9" s="674" t="s">
        <v>370</v>
      </c>
      <c r="D9" s="9"/>
      <c r="E9" s="110"/>
      <c r="F9" s="111"/>
      <c r="G9" s="111"/>
      <c r="H9" s="111"/>
    </row>
    <row r="10" spans="1:9" hidden="1" x14ac:dyDescent="0.25">
      <c r="A10" s="104">
        <v>1</v>
      </c>
      <c r="C10" s="112" t="s">
        <v>4</v>
      </c>
      <c r="D10" s="113"/>
      <c r="E10" s="103"/>
      <c r="F10" s="10"/>
      <c r="G10" s="10"/>
      <c r="H10" s="10"/>
    </row>
    <row r="11" spans="1:9" hidden="1" x14ac:dyDescent="0.25">
      <c r="A11" s="104">
        <v>1</v>
      </c>
      <c r="C11" s="114" t="s">
        <v>32</v>
      </c>
      <c r="D11" s="115">
        <v>340</v>
      </c>
      <c r="E11" s="10">
        <v>1097</v>
      </c>
      <c r="F11" s="116">
        <v>13.4</v>
      </c>
      <c r="G11" s="2">
        <f t="shared" ref="G11:G36" si="0">ROUND(H11/D11,0)</f>
        <v>43</v>
      </c>
      <c r="H11" s="10">
        <f t="shared" ref="H11:H36" si="1">ROUND(E11*F11,0)</f>
        <v>14700</v>
      </c>
    </row>
    <row r="12" spans="1:9" hidden="1" x14ac:dyDescent="0.25">
      <c r="A12" s="104">
        <v>1</v>
      </c>
      <c r="C12" s="114" t="s">
        <v>57</v>
      </c>
      <c r="D12" s="115">
        <v>340</v>
      </c>
      <c r="E12" s="10">
        <v>225</v>
      </c>
      <c r="F12" s="116">
        <v>12.8</v>
      </c>
      <c r="G12" s="2">
        <f t="shared" si="0"/>
        <v>8</v>
      </c>
      <c r="H12" s="10">
        <f t="shared" si="1"/>
        <v>2880</v>
      </c>
    </row>
    <row r="13" spans="1:9" hidden="1" x14ac:dyDescent="0.25">
      <c r="A13" s="104">
        <v>1</v>
      </c>
      <c r="C13" s="114" t="s">
        <v>21</v>
      </c>
      <c r="D13" s="115">
        <v>340</v>
      </c>
      <c r="E13" s="10">
        <v>2131</v>
      </c>
      <c r="F13" s="116">
        <v>6.3</v>
      </c>
      <c r="G13" s="2">
        <f t="shared" si="0"/>
        <v>39</v>
      </c>
      <c r="H13" s="10">
        <f t="shared" si="1"/>
        <v>13425</v>
      </c>
    </row>
    <row r="14" spans="1:9" hidden="1" x14ac:dyDescent="0.25">
      <c r="C14" s="117" t="s">
        <v>25</v>
      </c>
      <c r="D14" s="115">
        <v>310</v>
      </c>
      <c r="E14" s="10">
        <v>161</v>
      </c>
      <c r="F14" s="116">
        <v>10</v>
      </c>
      <c r="G14" s="2">
        <f t="shared" si="0"/>
        <v>5</v>
      </c>
      <c r="H14" s="10">
        <f t="shared" si="1"/>
        <v>1610</v>
      </c>
    </row>
    <row r="15" spans="1:9" hidden="1" x14ac:dyDescent="0.25">
      <c r="A15" s="104">
        <v>1</v>
      </c>
      <c r="C15" s="114" t="s">
        <v>20</v>
      </c>
      <c r="D15" s="115">
        <v>340</v>
      </c>
      <c r="E15" s="10">
        <v>1435</v>
      </c>
      <c r="F15" s="116">
        <v>14.5</v>
      </c>
      <c r="G15" s="2">
        <f t="shared" si="0"/>
        <v>61</v>
      </c>
      <c r="H15" s="10">
        <f t="shared" si="1"/>
        <v>20808</v>
      </c>
    </row>
    <row r="16" spans="1:9" hidden="1" x14ac:dyDescent="0.25">
      <c r="A16" s="104">
        <v>1</v>
      </c>
      <c r="C16" s="114" t="s">
        <v>59</v>
      </c>
      <c r="D16" s="115">
        <v>340</v>
      </c>
      <c r="E16" s="10">
        <v>350</v>
      </c>
      <c r="F16" s="116">
        <v>12</v>
      </c>
      <c r="G16" s="2">
        <f t="shared" si="0"/>
        <v>12</v>
      </c>
      <c r="H16" s="10">
        <f t="shared" si="1"/>
        <v>4200</v>
      </c>
    </row>
    <row r="17" spans="1:9" hidden="1" x14ac:dyDescent="0.25">
      <c r="A17" s="104">
        <v>1</v>
      </c>
      <c r="C17" s="114" t="s">
        <v>90</v>
      </c>
      <c r="D17" s="115">
        <v>340</v>
      </c>
      <c r="E17" s="10">
        <v>80</v>
      </c>
      <c r="F17" s="116">
        <v>21</v>
      </c>
      <c r="G17" s="2">
        <f t="shared" si="0"/>
        <v>5</v>
      </c>
      <c r="H17" s="10">
        <f t="shared" si="1"/>
        <v>1680</v>
      </c>
    </row>
    <row r="18" spans="1:9" hidden="1" x14ac:dyDescent="0.25">
      <c r="A18" s="104">
        <v>1</v>
      </c>
      <c r="C18" s="114" t="s">
        <v>55</v>
      </c>
      <c r="D18" s="115">
        <v>340</v>
      </c>
      <c r="E18" s="10">
        <v>1139</v>
      </c>
      <c r="F18" s="116">
        <v>12.7</v>
      </c>
      <c r="G18" s="2">
        <f t="shared" si="0"/>
        <v>43</v>
      </c>
      <c r="H18" s="10">
        <f t="shared" si="1"/>
        <v>14465</v>
      </c>
    </row>
    <row r="19" spans="1:9" hidden="1" x14ac:dyDescent="0.25">
      <c r="A19" s="104">
        <v>1</v>
      </c>
      <c r="C19" s="114" t="s">
        <v>61</v>
      </c>
      <c r="D19" s="115">
        <v>340</v>
      </c>
      <c r="E19" s="10">
        <v>516</v>
      </c>
      <c r="F19" s="116">
        <v>16.600000000000001</v>
      </c>
      <c r="G19" s="2">
        <f t="shared" si="0"/>
        <v>25</v>
      </c>
      <c r="H19" s="10">
        <f t="shared" si="1"/>
        <v>8566</v>
      </c>
      <c r="I19" s="118"/>
    </row>
    <row r="20" spans="1:9" hidden="1" x14ac:dyDescent="0.25">
      <c r="A20" s="104">
        <v>1</v>
      </c>
      <c r="C20" s="114" t="s">
        <v>81</v>
      </c>
      <c r="D20" s="115">
        <v>340</v>
      </c>
      <c r="E20" s="10">
        <v>60</v>
      </c>
      <c r="F20" s="116">
        <v>9.5</v>
      </c>
      <c r="G20" s="2">
        <f t="shared" si="0"/>
        <v>2</v>
      </c>
      <c r="H20" s="10">
        <f t="shared" si="1"/>
        <v>570</v>
      </c>
    </row>
    <row r="21" spans="1:9" hidden="1" x14ac:dyDescent="0.25">
      <c r="A21" s="104">
        <v>1</v>
      </c>
      <c r="C21" s="114" t="s">
        <v>84</v>
      </c>
      <c r="D21" s="115">
        <v>340</v>
      </c>
      <c r="E21" s="10">
        <v>821</v>
      </c>
      <c r="F21" s="116">
        <v>15.4</v>
      </c>
      <c r="G21" s="2">
        <f t="shared" si="0"/>
        <v>37</v>
      </c>
      <c r="H21" s="10">
        <f t="shared" si="1"/>
        <v>12643</v>
      </c>
    </row>
    <row r="22" spans="1:9" hidden="1" x14ac:dyDescent="0.25">
      <c r="A22" s="104">
        <v>1</v>
      </c>
      <c r="C22" s="114" t="s">
        <v>76</v>
      </c>
      <c r="D22" s="115">
        <v>340</v>
      </c>
      <c r="E22" s="10">
        <v>86</v>
      </c>
      <c r="F22" s="116">
        <v>10.9</v>
      </c>
      <c r="G22" s="2">
        <f t="shared" si="0"/>
        <v>3</v>
      </c>
      <c r="H22" s="10">
        <f t="shared" si="1"/>
        <v>937</v>
      </c>
    </row>
    <row r="23" spans="1:9" hidden="1" x14ac:dyDescent="0.25">
      <c r="A23" s="104">
        <v>1</v>
      </c>
      <c r="C23" s="114" t="s">
        <v>163</v>
      </c>
      <c r="D23" s="115">
        <v>340</v>
      </c>
      <c r="E23" s="10">
        <v>60</v>
      </c>
      <c r="F23" s="116">
        <v>8.5</v>
      </c>
      <c r="G23" s="2">
        <f t="shared" si="0"/>
        <v>2</v>
      </c>
      <c r="H23" s="10">
        <f t="shared" si="1"/>
        <v>510</v>
      </c>
    </row>
    <row r="24" spans="1:9" hidden="1" x14ac:dyDescent="0.25">
      <c r="A24" s="104">
        <v>1</v>
      </c>
      <c r="C24" s="114" t="s">
        <v>83</v>
      </c>
      <c r="D24" s="115">
        <v>340</v>
      </c>
      <c r="E24" s="10">
        <v>64</v>
      </c>
      <c r="F24" s="116">
        <v>21</v>
      </c>
      <c r="G24" s="2">
        <f t="shared" si="0"/>
        <v>4</v>
      </c>
      <c r="H24" s="10">
        <f t="shared" si="1"/>
        <v>1344</v>
      </c>
    </row>
    <row r="25" spans="1:9" hidden="1" x14ac:dyDescent="0.25">
      <c r="A25" s="104">
        <v>1</v>
      </c>
      <c r="C25" s="114" t="s">
        <v>82</v>
      </c>
      <c r="D25" s="115">
        <v>340</v>
      </c>
      <c r="E25" s="10">
        <v>42</v>
      </c>
      <c r="F25" s="116">
        <v>12.5</v>
      </c>
      <c r="G25" s="2">
        <f t="shared" si="0"/>
        <v>2</v>
      </c>
      <c r="H25" s="10">
        <f t="shared" si="1"/>
        <v>525</v>
      </c>
    </row>
    <row r="26" spans="1:9" hidden="1" x14ac:dyDescent="0.25">
      <c r="A26" s="104">
        <v>1</v>
      </c>
      <c r="C26" s="114" t="s">
        <v>60</v>
      </c>
      <c r="D26" s="115">
        <v>340</v>
      </c>
      <c r="E26" s="10">
        <v>592</v>
      </c>
      <c r="F26" s="116">
        <v>15.8</v>
      </c>
      <c r="G26" s="2">
        <f t="shared" si="0"/>
        <v>28</v>
      </c>
      <c r="H26" s="10">
        <f t="shared" si="1"/>
        <v>9354</v>
      </c>
    </row>
    <row r="27" spans="1:9" hidden="1" x14ac:dyDescent="0.25">
      <c r="A27" s="104">
        <v>1</v>
      </c>
      <c r="C27" s="114" t="s">
        <v>8</v>
      </c>
      <c r="D27" s="115">
        <v>340</v>
      </c>
      <c r="E27" s="10">
        <v>1009</v>
      </c>
      <c r="F27" s="116">
        <v>8.1</v>
      </c>
      <c r="G27" s="2">
        <f t="shared" si="0"/>
        <v>24</v>
      </c>
      <c r="H27" s="10">
        <f t="shared" si="1"/>
        <v>8173</v>
      </c>
    </row>
    <row r="28" spans="1:9" hidden="1" x14ac:dyDescent="0.25">
      <c r="A28" s="104">
        <v>1</v>
      </c>
      <c r="C28" s="114" t="s">
        <v>13</v>
      </c>
      <c r="D28" s="115">
        <v>340</v>
      </c>
      <c r="E28" s="10">
        <v>758</v>
      </c>
      <c r="F28" s="116">
        <v>13.4</v>
      </c>
      <c r="G28" s="2">
        <f t="shared" si="0"/>
        <v>30</v>
      </c>
      <c r="H28" s="10">
        <f t="shared" si="1"/>
        <v>10157</v>
      </c>
    </row>
    <row r="29" spans="1:9" ht="17.25" hidden="1" customHeight="1" x14ac:dyDescent="0.25">
      <c r="A29" s="104">
        <v>1</v>
      </c>
      <c r="C29" s="114" t="s">
        <v>42</v>
      </c>
      <c r="D29" s="115">
        <v>340</v>
      </c>
      <c r="E29" s="10">
        <f>877+53</f>
        <v>930</v>
      </c>
      <c r="F29" s="116">
        <v>13</v>
      </c>
      <c r="G29" s="2">
        <f t="shared" si="0"/>
        <v>36</v>
      </c>
      <c r="H29" s="10">
        <f t="shared" si="1"/>
        <v>12090</v>
      </c>
    </row>
    <row r="30" spans="1:9" ht="17.25" hidden="1" customHeight="1" x14ac:dyDescent="0.25">
      <c r="A30" s="104">
        <v>1</v>
      </c>
      <c r="C30" s="114" t="s">
        <v>29</v>
      </c>
      <c r="D30" s="115">
        <v>340</v>
      </c>
      <c r="E30" s="10">
        <f>852+10</f>
        <v>862</v>
      </c>
      <c r="F30" s="116">
        <v>13.6</v>
      </c>
      <c r="G30" s="2">
        <f t="shared" si="0"/>
        <v>34</v>
      </c>
      <c r="H30" s="10">
        <f t="shared" si="1"/>
        <v>11723</v>
      </c>
    </row>
    <row r="31" spans="1:9" ht="17.25" hidden="1" customHeight="1" x14ac:dyDescent="0.25">
      <c r="A31" s="104">
        <v>1</v>
      </c>
      <c r="C31" s="114" t="s">
        <v>58</v>
      </c>
      <c r="D31" s="115">
        <v>340</v>
      </c>
      <c r="E31" s="10">
        <v>554</v>
      </c>
      <c r="F31" s="116">
        <v>15</v>
      </c>
      <c r="G31" s="2">
        <f t="shared" si="0"/>
        <v>24</v>
      </c>
      <c r="H31" s="10">
        <f t="shared" si="1"/>
        <v>8310</v>
      </c>
    </row>
    <row r="32" spans="1:9" ht="17.25" hidden="1" customHeight="1" x14ac:dyDescent="0.25">
      <c r="A32" s="104">
        <v>1</v>
      </c>
      <c r="C32" s="114" t="s">
        <v>56</v>
      </c>
      <c r="D32" s="115">
        <v>340</v>
      </c>
      <c r="E32" s="10">
        <f>495+21</f>
        <v>516</v>
      </c>
      <c r="F32" s="116">
        <v>20</v>
      </c>
      <c r="G32" s="2">
        <f t="shared" si="0"/>
        <v>30</v>
      </c>
      <c r="H32" s="10">
        <f t="shared" si="1"/>
        <v>10320</v>
      </c>
    </row>
    <row r="33" spans="1:10" ht="17.25" hidden="1" customHeight="1" x14ac:dyDescent="0.25">
      <c r="A33" s="104">
        <v>1</v>
      </c>
      <c r="C33" s="114" t="s">
        <v>11</v>
      </c>
      <c r="D33" s="115">
        <v>340</v>
      </c>
      <c r="E33" s="10">
        <v>1831</v>
      </c>
      <c r="F33" s="116">
        <v>10.8</v>
      </c>
      <c r="G33" s="2">
        <f t="shared" si="0"/>
        <v>58</v>
      </c>
      <c r="H33" s="10">
        <f t="shared" si="1"/>
        <v>19775</v>
      </c>
    </row>
    <row r="34" spans="1:10" ht="17.25" hidden="1" customHeight="1" x14ac:dyDescent="0.25">
      <c r="A34" s="104">
        <v>1</v>
      </c>
      <c r="C34" s="114" t="s">
        <v>10</v>
      </c>
      <c r="D34" s="115">
        <v>340</v>
      </c>
      <c r="E34" s="10">
        <v>1280</v>
      </c>
      <c r="F34" s="119">
        <v>10.9</v>
      </c>
      <c r="G34" s="2">
        <f t="shared" si="0"/>
        <v>41</v>
      </c>
      <c r="H34" s="10">
        <f t="shared" si="1"/>
        <v>13952</v>
      </c>
    </row>
    <row r="35" spans="1:10" ht="17.25" hidden="1" customHeight="1" x14ac:dyDescent="0.25">
      <c r="A35" s="104">
        <v>1</v>
      </c>
      <c r="C35" s="114" t="s">
        <v>75</v>
      </c>
      <c r="D35" s="115">
        <v>340</v>
      </c>
      <c r="E35" s="10">
        <v>426</v>
      </c>
      <c r="F35" s="116">
        <v>9.4</v>
      </c>
      <c r="G35" s="2">
        <f t="shared" si="0"/>
        <v>12</v>
      </c>
      <c r="H35" s="10">
        <f t="shared" si="1"/>
        <v>4004</v>
      </c>
    </row>
    <row r="36" spans="1:10" ht="17.25" hidden="1" customHeight="1" x14ac:dyDescent="0.25">
      <c r="A36" s="104">
        <v>1</v>
      </c>
      <c r="C36" s="114" t="s">
        <v>33</v>
      </c>
      <c r="D36" s="115">
        <v>340</v>
      </c>
      <c r="E36" s="10">
        <v>796</v>
      </c>
      <c r="F36" s="116">
        <v>11.4</v>
      </c>
      <c r="G36" s="2">
        <f t="shared" si="0"/>
        <v>27</v>
      </c>
      <c r="H36" s="10">
        <f t="shared" si="1"/>
        <v>9074</v>
      </c>
    </row>
    <row r="37" spans="1:10" s="124" customFormat="1" hidden="1" x14ac:dyDescent="0.25">
      <c r="A37" s="104">
        <v>1</v>
      </c>
      <c r="B37" s="104"/>
      <c r="C37" s="120" t="s">
        <v>5</v>
      </c>
      <c r="D37" s="121"/>
      <c r="E37" s="11">
        <f>SUM(E11:E36)</f>
        <v>17821</v>
      </c>
      <c r="F37" s="122">
        <f>H37/E37</f>
        <v>12.109028674036249</v>
      </c>
      <c r="G37" s="11">
        <f>SUM(G11:G36)</f>
        <v>635</v>
      </c>
      <c r="H37" s="11">
        <f>SUM(H11:H36)</f>
        <v>215795</v>
      </c>
      <c r="I37" s="123">
        <f>E37-E38</f>
        <v>16034</v>
      </c>
      <c r="J37" s="123"/>
    </row>
    <row r="38" spans="1:10" s="124" customFormat="1" hidden="1" x14ac:dyDescent="0.25">
      <c r="A38" s="104"/>
      <c r="B38" s="104"/>
      <c r="C38" s="120" t="s">
        <v>213</v>
      </c>
      <c r="D38" s="121"/>
      <c r="E38" s="11">
        <v>1787</v>
      </c>
      <c r="F38" s="122"/>
      <c r="G38" s="11"/>
      <c r="H38" s="11"/>
      <c r="I38" s="123"/>
    </row>
    <row r="39" spans="1:10" s="124" customFormat="1" hidden="1" x14ac:dyDescent="0.25">
      <c r="A39" s="104">
        <v>1</v>
      </c>
      <c r="B39" s="104"/>
      <c r="C39" s="12" t="s">
        <v>96</v>
      </c>
      <c r="D39" s="13"/>
      <c r="E39" s="103"/>
      <c r="F39" s="10"/>
      <c r="G39" s="10"/>
      <c r="H39" s="10"/>
    </row>
    <row r="40" spans="1:10" s="124" customFormat="1" ht="43.5" hidden="1" x14ac:dyDescent="0.25">
      <c r="A40" s="104"/>
      <c r="B40" s="104"/>
      <c r="C40" s="14" t="s">
        <v>308</v>
      </c>
      <c r="D40" s="13"/>
      <c r="E40" s="13">
        <f>E42+E46+E47</f>
        <v>113904</v>
      </c>
      <c r="F40" s="10"/>
      <c r="G40" s="10"/>
      <c r="H40" s="10"/>
    </row>
    <row r="41" spans="1:10" s="124" customFormat="1" hidden="1" x14ac:dyDescent="0.25">
      <c r="A41" s="104"/>
      <c r="B41" s="104"/>
      <c r="C41" s="15" t="s">
        <v>297</v>
      </c>
      <c r="D41" s="13"/>
      <c r="E41" s="13"/>
      <c r="F41" s="10"/>
      <c r="G41" s="10"/>
      <c r="H41" s="10"/>
    </row>
    <row r="42" spans="1:10" s="124" customFormat="1" ht="30" hidden="1" x14ac:dyDescent="0.25">
      <c r="A42" s="104"/>
      <c r="B42" s="104"/>
      <c r="C42" s="16" t="s">
        <v>298</v>
      </c>
      <c r="D42" s="13"/>
      <c r="E42" s="103">
        <f>E43+E44</f>
        <v>99000</v>
      </c>
      <c r="F42" s="10"/>
      <c r="G42" s="10"/>
      <c r="H42" s="10"/>
    </row>
    <row r="43" spans="1:10" s="124" customFormat="1" hidden="1" x14ac:dyDescent="0.25">
      <c r="A43" s="104"/>
      <c r="B43" s="104"/>
      <c r="C43" s="15" t="s">
        <v>299</v>
      </c>
      <c r="D43" s="13"/>
      <c r="E43" s="103">
        <v>97000</v>
      </c>
      <c r="F43" s="10"/>
      <c r="G43" s="10"/>
      <c r="H43" s="10"/>
    </row>
    <row r="44" spans="1:10" s="124" customFormat="1" ht="45" hidden="1" x14ac:dyDescent="0.25">
      <c r="A44" s="104"/>
      <c r="B44" s="104"/>
      <c r="C44" s="15" t="s">
        <v>301</v>
      </c>
      <c r="D44" s="17"/>
      <c r="E44" s="103">
        <v>2000</v>
      </c>
      <c r="F44" s="10"/>
      <c r="G44" s="10"/>
      <c r="H44" s="10"/>
    </row>
    <row r="45" spans="1:10" s="124" customFormat="1" ht="42" hidden="1" customHeight="1" x14ac:dyDescent="0.25">
      <c r="A45" s="104"/>
      <c r="B45" s="104"/>
      <c r="C45" s="15" t="s">
        <v>309</v>
      </c>
      <c r="D45" s="13"/>
      <c r="E45" s="103"/>
      <c r="F45" s="10"/>
      <c r="G45" s="10"/>
      <c r="H45" s="10"/>
    </row>
    <row r="46" spans="1:10" s="124" customFormat="1" ht="45" hidden="1" x14ac:dyDescent="0.25">
      <c r="A46" s="104"/>
      <c r="B46" s="104"/>
      <c r="C46" s="18" t="s">
        <v>310</v>
      </c>
      <c r="D46" s="17"/>
      <c r="E46" s="103">
        <v>11904</v>
      </c>
      <c r="F46" s="10"/>
      <c r="G46" s="10"/>
      <c r="H46" s="10"/>
    </row>
    <row r="47" spans="1:10" s="124" customFormat="1" ht="75" hidden="1" x14ac:dyDescent="0.25">
      <c r="A47" s="104"/>
      <c r="B47" s="104"/>
      <c r="C47" s="18" t="s">
        <v>354</v>
      </c>
      <c r="D47" s="17"/>
      <c r="E47" s="103">
        <v>3000</v>
      </c>
      <c r="F47" s="10"/>
      <c r="G47" s="10"/>
      <c r="H47" s="10"/>
    </row>
    <row r="48" spans="1:10" s="124" customFormat="1" ht="43.5" hidden="1" x14ac:dyDescent="0.25">
      <c r="A48" s="104"/>
      <c r="B48" s="104"/>
      <c r="C48" s="14" t="s">
        <v>311</v>
      </c>
      <c r="D48" s="13"/>
      <c r="E48" s="103"/>
      <c r="F48" s="10"/>
      <c r="G48" s="10"/>
      <c r="H48" s="10"/>
    </row>
    <row r="49" spans="1:8" s="124" customFormat="1" ht="29.25" hidden="1" x14ac:dyDescent="0.25">
      <c r="A49" s="104">
        <v>1</v>
      </c>
      <c r="B49" s="104"/>
      <c r="C49" s="14" t="s">
        <v>306</v>
      </c>
      <c r="D49" s="13"/>
      <c r="E49" s="103"/>
      <c r="F49" s="10"/>
      <c r="G49" s="10"/>
      <c r="H49" s="10"/>
    </row>
    <row r="50" spans="1:8" s="124" customFormat="1" ht="30" hidden="1" x14ac:dyDescent="0.25">
      <c r="A50" s="104">
        <v>1</v>
      </c>
      <c r="B50" s="104"/>
      <c r="C50" s="19" t="s">
        <v>115</v>
      </c>
      <c r="D50" s="13"/>
      <c r="E50" s="103"/>
      <c r="F50" s="10"/>
      <c r="G50" s="10"/>
      <c r="H50" s="10"/>
    </row>
    <row r="51" spans="1:8" s="124" customFormat="1" ht="57.75" hidden="1" x14ac:dyDescent="0.25">
      <c r="A51" s="104">
        <v>1</v>
      </c>
      <c r="B51" s="104"/>
      <c r="C51" s="14" t="s">
        <v>307</v>
      </c>
      <c r="D51" s="17"/>
      <c r="E51" s="103">
        <v>20000</v>
      </c>
      <c r="F51" s="10"/>
      <c r="G51" s="10"/>
      <c r="H51" s="10"/>
    </row>
    <row r="52" spans="1:8" s="124" customFormat="1" hidden="1" x14ac:dyDescent="0.25">
      <c r="A52" s="104">
        <v>1</v>
      </c>
      <c r="B52" s="104"/>
      <c r="C52" s="20" t="s">
        <v>158</v>
      </c>
      <c r="D52" s="13"/>
      <c r="E52" s="125">
        <f>SUM(E53:E84)</f>
        <v>126774</v>
      </c>
      <c r="F52" s="10"/>
      <c r="G52" s="10"/>
      <c r="H52" s="10"/>
    </row>
    <row r="53" spans="1:8" s="124" customFormat="1" ht="30" hidden="1" x14ac:dyDescent="0.25">
      <c r="A53" s="104"/>
      <c r="B53" s="104"/>
      <c r="C53" s="126" t="s">
        <v>167</v>
      </c>
      <c r="D53" s="13"/>
      <c r="E53" s="103">
        <v>50000</v>
      </c>
      <c r="F53" s="10"/>
      <c r="G53" s="10"/>
      <c r="H53" s="10"/>
    </row>
    <row r="54" spans="1:8" s="124" customFormat="1" ht="30" hidden="1" x14ac:dyDescent="0.25">
      <c r="A54" s="104"/>
      <c r="B54" s="104"/>
      <c r="C54" s="126" t="s">
        <v>124</v>
      </c>
      <c r="D54" s="13"/>
      <c r="E54" s="103">
        <v>2200</v>
      </c>
      <c r="F54" s="10"/>
      <c r="G54" s="10"/>
      <c r="H54" s="10"/>
    </row>
    <row r="55" spans="1:8" s="124" customFormat="1" ht="30" hidden="1" x14ac:dyDescent="0.25">
      <c r="A55" s="104"/>
      <c r="B55" s="104"/>
      <c r="C55" s="126" t="s">
        <v>348</v>
      </c>
      <c r="D55" s="13"/>
      <c r="E55" s="103">
        <v>500</v>
      </c>
      <c r="F55" s="10"/>
      <c r="G55" s="10"/>
      <c r="H55" s="10"/>
    </row>
    <row r="56" spans="1:8" s="124" customFormat="1" ht="45" hidden="1" x14ac:dyDescent="0.25">
      <c r="A56" s="104"/>
      <c r="B56" s="104"/>
      <c r="C56" s="126" t="s">
        <v>169</v>
      </c>
      <c r="D56" s="13"/>
      <c r="E56" s="103">
        <v>1500</v>
      </c>
      <c r="F56" s="10"/>
      <c r="G56" s="10"/>
      <c r="H56" s="10"/>
    </row>
    <row r="57" spans="1:8" s="124" customFormat="1" hidden="1" x14ac:dyDescent="0.25">
      <c r="A57" s="104"/>
      <c r="B57" s="104"/>
      <c r="C57" s="126" t="s">
        <v>16</v>
      </c>
      <c r="D57" s="13"/>
      <c r="E57" s="103">
        <v>1600</v>
      </c>
      <c r="F57" s="10"/>
      <c r="G57" s="10"/>
      <c r="H57" s="10"/>
    </row>
    <row r="58" spans="1:8" s="124" customFormat="1" hidden="1" x14ac:dyDescent="0.25">
      <c r="A58" s="104"/>
      <c r="B58" s="104"/>
      <c r="C58" s="126" t="s">
        <v>168</v>
      </c>
      <c r="D58" s="13"/>
      <c r="E58" s="103">
        <v>2500</v>
      </c>
      <c r="F58" s="10"/>
      <c r="G58" s="10"/>
      <c r="H58" s="10"/>
    </row>
    <row r="59" spans="1:8" s="124" customFormat="1" hidden="1" x14ac:dyDescent="0.25">
      <c r="A59" s="104"/>
      <c r="B59" s="104"/>
      <c r="C59" s="126" t="s">
        <v>62</v>
      </c>
      <c r="D59" s="13"/>
      <c r="E59" s="103">
        <v>90</v>
      </c>
      <c r="F59" s="10"/>
      <c r="G59" s="10"/>
      <c r="H59" s="10"/>
    </row>
    <row r="60" spans="1:8" s="124" customFormat="1" hidden="1" x14ac:dyDescent="0.25">
      <c r="A60" s="104"/>
      <c r="B60" s="104"/>
      <c r="C60" s="126" t="s">
        <v>17</v>
      </c>
      <c r="D60" s="13"/>
      <c r="E60" s="103">
        <v>1500</v>
      </c>
      <c r="F60" s="10"/>
      <c r="G60" s="10"/>
      <c r="H60" s="10"/>
    </row>
    <row r="61" spans="1:8" s="124" customFormat="1" ht="30" hidden="1" x14ac:dyDescent="0.25">
      <c r="A61" s="104"/>
      <c r="B61" s="104"/>
      <c r="C61" s="126" t="s">
        <v>139</v>
      </c>
      <c r="D61" s="13"/>
      <c r="E61" s="103">
        <v>780</v>
      </c>
      <c r="F61" s="10"/>
      <c r="G61" s="10"/>
      <c r="H61" s="10"/>
    </row>
    <row r="62" spans="1:8" s="124" customFormat="1" hidden="1" x14ac:dyDescent="0.25">
      <c r="A62" s="104"/>
      <c r="B62" s="104"/>
      <c r="C62" s="126" t="s">
        <v>147</v>
      </c>
      <c r="D62" s="13"/>
      <c r="E62" s="103">
        <v>40000</v>
      </c>
      <c r="F62" s="10"/>
      <c r="G62" s="10"/>
      <c r="H62" s="10"/>
    </row>
    <row r="63" spans="1:8" s="124" customFormat="1" ht="31.5" hidden="1" customHeight="1" x14ac:dyDescent="0.25">
      <c r="A63" s="104"/>
      <c r="B63" s="104"/>
      <c r="C63" s="127" t="s">
        <v>204</v>
      </c>
      <c r="D63" s="13"/>
      <c r="E63" s="103">
        <v>200</v>
      </c>
      <c r="F63" s="10"/>
      <c r="G63" s="10"/>
      <c r="H63" s="10"/>
    </row>
    <row r="64" spans="1:8" s="124" customFormat="1" ht="31.5" hidden="1" customHeight="1" x14ac:dyDescent="0.25">
      <c r="A64" s="104"/>
      <c r="B64" s="104"/>
      <c r="C64" s="126" t="s">
        <v>217</v>
      </c>
      <c r="D64" s="13"/>
      <c r="E64" s="103">
        <v>400</v>
      </c>
      <c r="F64" s="10"/>
      <c r="G64" s="10"/>
      <c r="H64" s="10"/>
    </row>
    <row r="65" spans="1:8" s="124" customFormat="1" ht="60" hidden="1" x14ac:dyDescent="0.25">
      <c r="A65" s="104"/>
      <c r="B65" s="104"/>
      <c r="C65" s="126" t="s">
        <v>349</v>
      </c>
      <c r="D65" s="13"/>
      <c r="E65" s="103">
        <v>12</v>
      </c>
      <c r="F65" s="10"/>
      <c r="G65" s="10"/>
      <c r="H65" s="10"/>
    </row>
    <row r="66" spans="1:8" s="124" customFormat="1" ht="45" hidden="1" x14ac:dyDescent="0.25">
      <c r="A66" s="104"/>
      <c r="B66" s="104"/>
      <c r="C66" s="126" t="s">
        <v>350</v>
      </c>
      <c r="D66" s="13"/>
      <c r="E66" s="103">
        <v>12</v>
      </c>
      <c r="F66" s="10"/>
      <c r="G66" s="10"/>
      <c r="H66" s="10"/>
    </row>
    <row r="67" spans="1:8" s="124" customFormat="1" ht="30" hidden="1" x14ac:dyDescent="0.25">
      <c r="A67" s="104"/>
      <c r="B67" s="104"/>
      <c r="C67" s="126" t="s">
        <v>150</v>
      </c>
      <c r="D67" s="13"/>
      <c r="E67" s="103">
        <v>4500</v>
      </c>
      <c r="F67" s="10"/>
      <c r="G67" s="10"/>
      <c r="H67" s="10"/>
    </row>
    <row r="68" spans="1:8" s="124" customFormat="1" ht="60" hidden="1" x14ac:dyDescent="0.25">
      <c r="A68" s="104"/>
      <c r="B68" s="104"/>
      <c r="C68" s="126" t="s">
        <v>288</v>
      </c>
      <c r="D68" s="13"/>
      <c r="E68" s="103">
        <v>300</v>
      </c>
      <c r="F68" s="10"/>
      <c r="G68" s="10"/>
      <c r="H68" s="10"/>
    </row>
    <row r="69" spans="1:8" s="124" customFormat="1" hidden="1" x14ac:dyDescent="0.25">
      <c r="A69" s="104"/>
      <c r="B69" s="104"/>
      <c r="C69" s="126" t="s">
        <v>122</v>
      </c>
      <c r="D69" s="13"/>
      <c r="E69" s="103">
        <v>200</v>
      </c>
      <c r="F69" s="10"/>
      <c r="G69" s="10"/>
      <c r="H69" s="10"/>
    </row>
    <row r="70" spans="1:8" s="124" customFormat="1" ht="75" hidden="1" x14ac:dyDescent="0.25">
      <c r="A70" s="104"/>
      <c r="B70" s="104"/>
      <c r="C70" s="126" t="s">
        <v>321</v>
      </c>
      <c r="D70" s="13"/>
      <c r="E70" s="103">
        <v>550</v>
      </c>
      <c r="F70" s="10"/>
      <c r="G70" s="10"/>
      <c r="H70" s="10"/>
    </row>
    <row r="71" spans="1:8" s="124" customFormat="1" hidden="1" x14ac:dyDescent="0.25">
      <c r="A71" s="104"/>
      <c r="B71" s="104"/>
      <c r="C71" s="126" t="s">
        <v>120</v>
      </c>
      <c r="D71" s="13"/>
      <c r="E71" s="103">
        <v>1400</v>
      </c>
      <c r="F71" s="10"/>
      <c r="G71" s="10"/>
      <c r="H71" s="10"/>
    </row>
    <row r="72" spans="1:8" s="124" customFormat="1" hidden="1" x14ac:dyDescent="0.25">
      <c r="A72" s="104"/>
      <c r="B72" s="104"/>
      <c r="C72" s="126" t="s">
        <v>50</v>
      </c>
      <c r="D72" s="13"/>
      <c r="E72" s="103">
        <v>2500</v>
      </c>
      <c r="F72" s="10"/>
      <c r="G72" s="10"/>
      <c r="H72" s="10"/>
    </row>
    <row r="73" spans="1:8" s="124" customFormat="1" ht="17.25" hidden="1" customHeight="1" x14ac:dyDescent="0.25">
      <c r="A73" s="104"/>
      <c r="B73" s="104"/>
      <c r="C73" s="126" t="s">
        <v>54</v>
      </c>
      <c r="D73" s="13"/>
      <c r="E73" s="103">
        <v>500</v>
      </c>
      <c r="F73" s="10"/>
      <c r="G73" s="10"/>
      <c r="H73" s="10"/>
    </row>
    <row r="74" spans="1:8" s="124" customFormat="1" ht="21" hidden="1" customHeight="1" x14ac:dyDescent="0.25">
      <c r="A74" s="104"/>
      <c r="B74" s="104"/>
      <c r="C74" s="126" t="s">
        <v>116</v>
      </c>
      <c r="D74" s="13"/>
      <c r="E74" s="103">
        <v>400</v>
      </c>
      <c r="F74" s="10"/>
      <c r="G74" s="10"/>
      <c r="H74" s="10"/>
    </row>
    <row r="75" spans="1:8" s="124" customFormat="1" ht="17.25" hidden="1" customHeight="1" x14ac:dyDescent="0.25">
      <c r="A75" s="104"/>
      <c r="B75" s="104"/>
      <c r="C75" s="126" t="s">
        <v>52</v>
      </c>
      <c r="D75" s="13"/>
      <c r="E75" s="103">
        <v>300</v>
      </c>
      <c r="F75" s="10"/>
      <c r="G75" s="10"/>
      <c r="H75" s="10"/>
    </row>
    <row r="76" spans="1:8" s="124" customFormat="1" hidden="1" x14ac:dyDescent="0.25">
      <c r="A76" s="104"/>
      <c r="B76" s="104"/>
      <c r="C76" s="126" t="s">
        <v>182</v>
      </c>
      <c r="D76" s="13"/>
      <c r="E76" s="103">
        <v>3000</v>
      </c>
      <c r="F76" s="10"/>
      <c r="G76" s="10"/>
      <c r="H76" s="10"/>
    </row>
    <row r="77" spans="1:8" s="124" customFormat="1" ht="36" hidden="1" customHeight="1" x14ac:dyDescent="0.25">
      <c r="A77" s="104"/>
      <c r="B77" s="104"/>
      <c r="C77" s="126" t="s">
        <v>203</v>
      </c>
      <c r="D77" s="13"/>
      <c r="E77" s="103">
        <v>800</v>
      </c>
      <c r="F77" s="10"/>
      <c r="G77" s="10"/>
      <c r="H77" s="10"/>
    </row>
    <row r="78" spans="1:8" s="124" customFormat="1" ht="36" hidden="1" customHeight="1" x14ac:dyDescent="0.25">
      <c r="A78" s="104"/>
      <c r="B78" s="104"/>
      <c r="C78" s="126" t="s">
        <v>202</v>
      </c>
      <c r="D78" s="13"/>
      <c r="E78" s="103">
        <v>1800</v>
      </c>
      <c r="F78" s="10"/>
      <c r="G78" s="10"/>
      <c r="H78" s="10"/>
    </row>
    <row r="79" spans="1:8" s="124" customFormat="1" hidden="1" x14ac:dyDescent="0.25">
      <c r="A79" s="104"/>
      <c r="B79" s="104"/>
      <c r="C79" s="126" t="s">
        <v>15</v>
      </c>
      <c r="D79" s="13"/>
      <c r="E79" s="103">
        <v>380</v>
      </c>
      <c r="F79" s="10"/>
      <c r="G79" s="10"/>
      <c r="H79" s="10"/>
    </row>
    <row r="80" spans="1:8" s="124" customFormat="1" hidden="1" x14ac:dyDescent="0.25">
      <c r="A80" s="104"/>
      <c r="B80" s="104"/>
      <c r="C80" s="126" t="s">
        <v>117</v>
      </c>
      <c r="D80" s="13"/>
      <c r="E80" s="103">
        <v>250</v>
      </c>
      <c r="F80" s="10"/>
      <c r="G80" s="10"/>
      <c r="H80" s="10"/>
    </row>
    <row r="81" spans="1:8" s="124" customFormat="1" hidden="1" x14ac:dyDescent="0.25">
      <c r="A81" s="104"/>
      <c r="B81" s="104"/>
      <c r="C81" s="126" t="s">
        <v>51</v>
      </c>
      <c r="D81" s="13"/>
      <c r="E81" s="103">
        <v>4500</v>
      </c>
      <c r="F81" s="10"/>
      <c r="G81" s="10"/>
      <c r="H81" s="10"/>
    </row>
    <row r="82" spans="1:8" s="124" customFormat="1" hidden="1" x14ac:dyDescent="0.25">
      <c r="A82" s="104"/>
      <c r="B82" s="104"/>
      <c r="C82" s="126" t="s">
        <v>121</v>
      </c>
      <c r="D82" s="13"/>
      <c r="E82" s="103">
        <v>100</v>
      </c>
      <c r="F82" s="10"/>
      <c r="G82" s="10"/>
      <c r="H82" s="10"/>
    </row>
    <row r="83" spans="1:8" s="124" customFormat="1" hidden="1" x14ac:dyDescent="0.25">
      <c r="A83" s="104"/>
      <c r="B83" s="104"/>
      <c r="C83" s="126" t="s">
        <v>119</v>
      </c>
      <c r="D83" s="13"/>
      <c r="E83" s="103">
        <v>500</v>
      </c>
      <c r="F83" s="10"/>
      <c r="G83" s="10"/>
      <c r="H83" s="10"/>
    </row>
    <row r="84" spans="1:8" s="124" customFormat="1" hidden="1" x14ac:dyDescent="0.25">
      <c r="A84" s="104"/>
      <c r="B84" s="104"/>
      <c r="C84" s="126" t="s">
        <v>118</v>
      </c>
      <c r="D84" s="13"/>
      <c r="E84" s="103">
        <v>3500</v>
      </c>
      <c r="F84" s="10"/>
      <c r="G84" s="10"/>
      <c r="H84" s="10"/>
    </row>
    <row r="85" spans="1:8" s="124" customFormat="1" hidden="1" x14ac:dyDescent="0.25">
      <c r="A85" s="104">
        <v>1</v>
      </c>
      <c r="B85" s="104"/>
      <c r="C85" s="21" t="s">
        <v>198</v>
      </c>
      <c r="D85" s="13"/>
      <c r="E85" s="103">
        <f>E40</f>
        <v>113904</v>
      </c>
      <c r="F85" s="10"/>
      <c r="G85" s="10"/>
      <c r="H85" s="10"/>
    </row>
    <row r="86" spans="1:8" s="124" customFormat="1" hidden="1" x14ac:dyDescent="0.25">
      <c r="A86" s="104">
        <v>1</v>
      </c>
      <c r="B86" s="104"/>
      <c r="C86" s="21" t="s">
        <v>200</v>
      </c>
      <c r="D86" s="13"/>
      <c r="E86" s="128">
        <f>E48</f>
        <v>0</v>
      </c>
      <c r="F86" s="10"/>
      <c r="G86" s="10"/>
      <c r="H86" s="10"/>
    </row>
    <row r="87" spans="1:8" s="124" customFormat="1" ht="29.25" hidden="1" x14ac:dyDescent="0.25">
      <c r="A87" s="104">
        <v>1</v>
      </c>
      <c r="B87" s="104"/>
      <c r="C87" s="21" t="s">
        <v>201</v>
      </c>
      <c r="D87" s="13"/>
      <c r="E87" s="103">
        <f>E51</f>
        <v>20000</v>
      </c>
      <c r="F87" s="10"/>
      <c r="G87" s="10"/>
      <c r="H87" s="10"/>
    </row>
    <row r="88" spans="1:8" s="124" customFormat="1" hidden="1" x14ac:dyDescent="0.25">
      <c r="A88" s="104">
        <v>1</v>
      </c>
      <c r="B88" s="104"/>
      <c r="C88" s="22" t="s">
        <v>109</v>
      </c>
      <c r="D88" s="17"/>
      <c r="E88" s="125">
        <f>E85+E86+E87</f>
        <v>133904</v>
      </c>
      <c r="F88" s="10"/>
      <c r="G88" s="10"/>
      <c r="H88" s="10"/>
    </row>
    <row r="89" spans="1:8" s="124" customFormat="1" ht="18.75" hidden="1" customHeight="1" x14ac:dyDescent="0.25">
      <c r="A89" s="104">
        <v>1</v>
      </c>
      <c r="B89" s="104"/>
      <c r="C89" s="23" t="s">
        <v>7</v>
      </c>
      <c r="D89" s="24"/>
      <c r="E89" s="103"/>
      <c r="F89" s="10"/>
      <c r="G89" s="10"/>
      <c r="H89" s="10"/>
    </row>
    <row r="90" spans="1:8" s="124" customFormat="1" ht="17.25" hidden="1" customHeight="1" x14ac:dyDescent="0.25">
      <c r="A90" s="104">
        <v>1</v>
      </c>
      <c r="B90" s="104"/>
      <c r="C90" s="129" t="s">
        <v>91</v>
      </c>
      <c r="D90" s="24"/>
      <c r="E90" s="103"/>
      <c r="F90" s="10"/>
      <c r="G90" s="10"/>
      <c r="H90" s="10"/>
    </row>
    <row r="91" spans="1:8" s="124" customFormat="1" hidden="1" x14ac:dyDescent="0.25">
      <c r="A91" s="104">
        <v>1</v>
      </c>
      <c r="B91" s="104"/>
      <c r="C91" s="1" t="s">
        <v>32</v>
      </c>
      <c r="D91" s="24">
        <v>340</v>
      </c>
      <c r="E91" s="10">
        <v>76</v>
      </c>
      <c r="F91" s="130">
        <v>10</v>
      </c>
      <c r="G91" s="2">
        <f t="shared" ref="G91:G100" si="2">ROUND(H91/D91,0)</f>
        <v>2</v>
      </c>
      <c r="H91" s="10">
        <f t="shared" ref="H91:H100" si="3">ROUND(E91*F91,0)</f>
        <v>760</v>
      </c>
    </row>
    <row r="92" spans="1:8" s="124" customFormat="1" hidden="1" x14ac:dyDescent="0.25">
      <c r="A92" s="104">
        <v>1</v>
      </c>
      <c r="B92" s="104"/>
      <c r="C92" s="1" t="s">
        <v>21</v>
      </c>
      <c r="D92" s="24">
        <v>340</v>
      </c>
      <c r="E92" s="10">
        <v>100</v>
      </c>
      <c r="F92" s="130">
        <v>3.1</v>
      </c>
      <c r="G92" s="2">
        <f t="shared" si="2"/>
        <v>1</v>
      </c>
      <c r="H92" s="10">
        <f t="shared" si="3"/>
        <v>310</v>
      </c>
    </row>
    <row r="93" spans="1:8" s="124" customFormat="1" hidden="1" x14ac:dyDescent="0.25">
      <c r="A93" s="104">
        <v>1</v>
      </c>
      <c r="B93" s="104"/>
      <c r="C93" s="1" t="s">
        <v>55</v>
      </c>
      <c r="D93" s="24">
        <v>340</v>
      </c>
      <c r="E93" s="10">
        <v>20</v>
      </c>
      <c r="F93" s="130">
        <v>12</v>
      </c>
      <c r="G93" s="2">
        <f t="shared" si="2"/>
        <v>1</v>
      </c>
      <c r="H93" s="10">
        <f t="shared" si="3"/>
        <v>240</v>
      </c>
    </row>
    <row r="94" spans="1:8" s="124" customFormat="1" hidden="1" x14ac:dyDescent="0.25">
      <c r="A94" s="104">
        <v>1</v>
      </c>
      <c r="B94" s="104"/>
      <c r="C94" s="1" t="s">
        <v>61</v>
      </c>
      <c r="D94" s="24">
        <v>340</v>
      </c>
      <c r="E94" s="10">
        <f>37+199</f>
        <v>236</v>
      </c>
      <c r="F94" s="130">
        <v>7</v>
      </c>
      <c r="G94" s="2">
        <f t="shared" si="2"/>
        <v>5</v>
      </c>
      <c r="H94" s="10">
        <f t="shared" si="3"/>
        <v>1652</v>
      </c>
    </row>
    <row r="95" spans="1:8" s="124" customFormat="1" hidden="1" x14ac:dyDescent="0.25">
      <c r="A95" s="104">
        <v>1</v>
      </c>
      <c r="B95" s="104"/>
      <c r="C95" s="1" t="s">
        <v>84</v>
      </c>
      <c r="D95" s="24">
        <v>340</v>
      </c>
      <c r="E95" s="10">
        <v>88</v>
      </c>
      <c r="F95" s="130">
        <v>10</v>
      </c>
      <c r="G95" s="2">
        <f t="shared" si="2"/>
        <v>3</v>
      </c>
      <c r="H95" s="10">
        <f t="shared" si="3"/>
        <v>880</v>
      </c>
    </row>
    <row r="96" spans="1:8" s="124" customFormat="1" hidden="1" x14ac:dyDescent="0.25">
      <c r="A96" s="104">
        <v>1</v>
      </c>
      <c r="B96" s="104"/>
      <c r="C96" s="1" t="s">
        <v>8</v>
      </c>
      <c r="D96" s="24">
        <v>340</v>
      </c>
      <c r="E96" s="10">
        <v>100</v>
      </c>
      <c r="F96" s="130">
        <v>7.6</v>
      </c>
      <c r="G96" s="2">
        <f t="shared" si="2"/>
        <v>2</v>
      </c>
      <c r="H96" s="10">
        <f t="shared" si="3"/>
        <v>760</v>
      </c>
    </row>
    <row r="97" spans="1:8" s="124" customFormat="1" hidden="1" x14ac:dyDescent="0.25">
      <c r="A97" s="104">
        <v>1</v>
      </c>
      <c r="B97" s="104"/>
      <c r="C97" s="1" t="s">
        <v>42</v>
      </c>
      <c r="D97" s="24">
        <v>340</v>
      </c>
      <c r="E97" s="10">
        <f>224-107</f>
        <v>117</v>
      </c>
      <c r="F97" s="131">
        <v>9.5</v>
      </c>
      <c r="G97" s="2">
        <f t="shared" si="2"/>
        <v>3</v>
      </c>
      <c r="H97" s="10">
        <f t="shared" si="3"/>
        <v>1112</v>
      </c>
    </row>
    <row r="98" spans="1:8" s="124" customFormat="1" hidden="1" x14ac:dyDescent="0.25">
      <c r="A98" s="104">
        <v>1</v>
      </c>
      <c r="B98" s="104"/>
      <c r="C98" s="1" t="s">
        <v>29</v>
      </c>
      <c r="D98" s="24">
        <v>340</v>
      </c>
      <c r="E98" s="10">
        <v>24</v>
      </c>
      <c r="F98" s="131">
        <v>11</v>
      </c>
      <c r="G98" s="2">
        <f t="shared" si="2"/>
        <v>1</v>
      </c>
      <c r="H98" s="10">
        <f t="shared" si="3"/>
        <v>264</v>
      </c>
    </row>
    <row r="99" spans="1:8" s="124" customFormat="1" hidden="1" x14ac:dyDescent="0.25">
      <c r="A99" s="104">
        <v>1</v>
      </c>
      <c r="B99" s="104"/>
      <c r="C99" s="1" t="s">
        <v>11</v>
      </c>
      <c r="D99" s="24">
        <v>340</v>
      </c>
      <c r="E99" s="10">
        <v>22</v>
      </c>
      <c r="F99" s="131">
        <v>9.8000000000000007</v>
      </c>
      <c r="G99" s="2">
        <f t="shared" si="2"/>
        <v>1</v>
      </c>
      <c r="H99" s="10">
        <f t="shared" si="3"/>
        <v>216</v>
      </c>
    </row>
    <row r="100" spans="1:8" s="124" customFormat="1" hidden="1" x14ac:dyDescent="0.25">
      <c r="A100" s="104">
        <v>1</v>
      </c>
      <c r="B100" s="104"/>
      <c r="C100" s="1" t="s">
        <v>33</v>
      </c>
      <c r="D100" s="24">
        <v>340</v>
      </c>
      <c r="E100" s="10">
        <v>37</v>
      </c>
      <c r="F100" s="131">
        <v>8.1999999999999993</v>
      </c>
      <c r="G100" s="2">
        <f t="shared" si="2"/>
        <v>1</v>
      </c>
      <c r="H100" s="10">
        <f t="shared" si="3"/>
        <v>303</v>
      </c>
    </row>
    <row r="101" spans="1:8" s="137" customFormat="1" ht="17.25" hidden="1" customHeight="1" x14ac:dyDescent="0.25">
      <c r="A101" s="104">
        <v>1</v>
      </c>
      <c r="B101" s="104"/>
      <c r="C101" s="132" t="s">
        <v>9</v>
      </c>
      <c r="D101" s="133"/>
      <c r="E101" s="134">
        <f>SUM(E91:E100)</f>
        <v>820</v>
      </c>
      <c r="F101" s="135">
        <f>H101/E101</f>
        <v>7.9231707317073168</v>
      </c>
      <c r="G101" s="136">
        <f>SUM(G91:G100)</f>
        <v>20</v>
      </c>
      <c r="H101" s="136">
        <f>SUM(H91:H100)</f>
        <v>6497</v>
      </c>
    </row>
    <row r="102" spans="1:8" s="124" customFormat="1" ht="18" hidden="1" customHeight="1" x14ac:dyDescent="0.25">
      <c r="A102" s="104">
        <v>1</v>
      </c>
      <c r="B102" s="104"/>
      <c r="C102" s="129" t="s">
        <v>71</v>
      </c>
      <c r="D102" s="24"/>
      <c r="E102" s="103"/>
      <c r="F102" s="131"/>
      <c r="G102" s="2"/>
      <c r="H102" s="10"/>
    </row>
    <row r="103" spans="1:8" s="124" customFormat="1" hidden="1" x14ac:dyDescent="0.25">
      <c r="A103" s="104">
        <v>1</v>
      </c>
      <c r="B103" s="104"/>
      <c r="C103" s="25" t="s">
        <v>57</v>
      </c>
      <c r="D103" s="24">
        <v>240</v>
      </c>
      <c r="E103" s="10">
        <v>21</v>
      </c>
      <c r="F103" s="131">
        <v>10</v>
      </c>
      <c r="G103" s="2">
        <f>ROUND(H103/D103,0)</f>
        <v>1</v>
      </c>
      <c r="H103" s="10">
        <f>ROUND(E103*F103,0)</f>
        <v>210</v>
      </c>
    </row>
    <row r="104" spans="1:8" s="124" customFormat="1" hidden="1" x14ac:dyDescent="0.25">
      <c r="A104" s="104">
        <v>1</v>
      </c>
      <c r="B104" s="104"/>
      <c r="C104" s="25" t="s">
        <v>84</v>
      </c>
      <c r="D104" s="24">
        <v>240</v>
      </c>
      <c r="E104" s="10">
        <v>360</v>
      </c>
      <c r="F104" s="131">
        <v>10</v>
      </c>
      <c r="G104" s="2">
        <f>ROUND(H104/D104,0)</f>
        <v>15</v>
      </c>
      <c r="H104" s="10">
        <f>ROUND(E104*F104,0)</f>
        <v>3600</v>
      </c>
    </row>
    <row r="105" spans="1:8" s="124" customFormat="1" ht="18" hidden="1" customHeight="1" x14ac:dyDescent="0.25">
      <c r="A105" s="104">
        <v>1</v>
      </c>
      <c r="B105" s="104"/>
      <c r="C105" s="25" t="s">
        <v>35</v>
      </c>
      <c r="D105" s="138">
        <v>240</v>
      </c>
      <c r="E105" s="10">
        <v>204</v>
      </c>
      <c r="F105" s="131">
        <v>8.5</v>
      </c>
      <c r="G105" s="2">
        <f>ROUND(H105/D105,0)</f>
        <v>7</v>
      </c>
      <c r="H105" s="10">
        <f>ROUND(E105*F105,0)</f>
        <v>1734</v>
      </c>
    </row>
    <row r="106" spans="1:8" s="124" customFormat="1" ht="18" hidden="1" customHeight="1" x14ac:dyDescent="0.25">
      <c r="A106" s="104">
        <v>1</v>
      </c>
      <c r="B106" s="104"/>
      <c r="C106" s="139" t="s">
        <v>92</v>
      </c>
      <c r="D106" s="138"/>
      <c r="E106" s="140">
        <f>SUM(E103:E105)</f>
        <v>585</v>
      </c>
      <c r="F106" s="135">
        <f>H106/E106</f>
        <v>9.476923076923077</v>
      </c>
      <c r="G106" s="141">
        <f>SUM(G103:G105)</f>
        <v>23</v>
      </c>
      <c r="H106" s="141">
        <f>SUM(H103:H105)</f>
        <v>5544</v>
      </c>
    </row>
    <row r="107" spans="1:8" ht="21" hidden="1" customHeight="1" x14ac:dyDescent="0.25">
      <c r="A107" s="104">
        <v>1</v>
      </c>
      <c r="C107" s="26" t="s">
        <v>86</v>
      </c>
      <c r="D107" s="142"/>
      <c r="E107" s="125">
        <f>E101+E106</f>
        <v>1405</v>
      </c>
      <c r="F107" s="135">
        <f>H107/E107</f>
        <v>8.5701067615658371</v>
      </c>
      <c r="G107" s="11">
        <f>G101+G106</f>
        <v>43</v>
      </c>
      <c r="H107" s="11">
        <f>H101+H106</f>
        <v>12041</v>
      </c>
    </row>
    <row r="108" spans="1:8" ht="15.75" hidden="1" x14ac:dyDescent="0.25">
      <c r="C108" s="26"/>
      <c r="D108" s="142"/>
      <c r="E108" s="125"/>
      <c r="F108" s="135"/>
      <c r="G108" s="11"/>
      <c r="H108" s="11"/>
    </row>
    <row r="109" spans="1:8" ht="30" hidden="1" x14ac:dyDescent="0.25">
      <c r="C109" s="25" t="s">
        <v>332</v>
      </c>
      <c r="D109" s="142"/>
      <c r="E109" s="103"/>
      <c r="F109" s="135"/>
      <c r="G109" s="11"/>
      <c r="H109" s="11"/>
    </row>
    <row r="110" spans="1:8" ht="30" hidden="1" x14ac:dyDescent="0.25">
      <c r="C110" s="25" t="s">
        <v>333</v>
      </c>
      <c r="D110" s="142"/>
      <c r="E110" s="103"/>
      <c r="F110" s="135"/>
      <c r="G110" s="11"/>
      <c r="H110" s="11"/>
    </row>
    <row r="111" spans="1:8" ht="30" hidden="1" x14ac:dyDescent="0.25">
      <c r="C111" s="25" t="s">
        <v>334</v>
      </c>
      <c r="D111" s="142"/>
      <c r="E111" s="103"/>
      <c r="F111" s="135"/>
      <c r="G111" s="11"/>
      <c r="H111" s="11"/>
    </row>
    <row r="112" spans="1:8" ht="32.25" hidden="1" customHeight="1" x14ac:dyDescent="0.25">
      <c r="C112" s="102" t="s">
        <v>320</v>
      </c>
      <c r="D112" s="142"/>
      <c r="E112" s="125">
        <f>SUM(E109:E111)</f>
        <v>0</v>
      </c>
      <c r="F112" s="135"/>
      <c r="G112" s="11"/>
      <c r="H112" s="11"/>
    </row>
    <row r="113" spans="1:8" ht="31.5" hidden="1" customHeight="1" x14ac:dyDescent="0.25">
      <c r="A113" s="104">
        <v>1</v>
      </c>
      <c r="C113" s="27" t="s">
        <v>100</v>
      </c>
      <c r="D113" s="142"/>
      <c r="E113" s="128">
        <v>1300</v>
      </c>
      <c r="F113" s="143"/>
      <c r="G113" s="11"/>
      <c r="H113" s="11"/>
    </row>
    <row r="114" spans="1:8" ht="30" hidden="1" customHeight="1" x14ac:dyDescent="0.25">
      <c r="A114" s="104">
        <v>1</v>
      </c>
      <c r="C114" s="27" t="s">
        <v>101</v>
      </c>
      <c r="D114" s="142"/>
      <c r="E114" s="128">
        <v>12116</v>
      </c>
      <c r="F114" s="143"/>
      <c r="G114" s="11"/>
      <c r="H114" s="11"/>
    </row>
    <row r="115" spans="1:8" ht="15.75" hidden="1" x14ac:dyDescent="0.25">
      <c r="A115" s="104">
        <v>1</v>
      </c>
      <c r="C115" s="27" t="s">
        <v>111</v>
      </c>
      <c r="D115" s="142"/>
      <c r="E115" s="128">
        <v>10</v>
      </c>
      <c r="F115" s="143"/>
      <c r="G115" s="11"/>
      <c r="H115" s="11"/>
    </row>
    <row r="116" spans="1:8" ht="15.75" hidden="1" x14ac:dyDescent="0.25">
      <c r="C116" s="27" t="s">
        <v>180</v>
      </c>
      <c r="D116" s="142"/>
      <c r="E116" s="128">
        <v>100</v>
      </c>
      <c r="F116" s="143"/>
      <c r="G116" s="11"/>
      <c r="H116" s="11"/>
    </row>
    <row r="117" spans="1:8" ht="47.25" hidden="1" x14ac:dyDescent="0.25">
      <c r="A117" s="104">
        <v>1</v>
      </c>
      <c r="C117" s="27" t="s">
        <v>162</v>
      </c>
      <c r="D117" s="142"/>
      <c r="E117" s="128">
        <v>7300</v>
      </c>
      <c r="F117" s="128"/>
      <c r="G117" s="128"/>
      <c r="H117" s="128"/>
    </row>
    <row r="118" spans="1:8" ht="21" hidden="1" customHeight="1" x14ac:dyDescent="0.25">
      <c r="A118" s="104">
        <v>1</v>
      </c>
      <c r="C118" s="144" t="s">
        <v>94</v>
      </c>
      <c r="D118" s="145"/>
      <c r="E118" s="146">
        <v>9125</v>
      </c>
      <c r="F118" s="147"/>
      <c r="G118" s="28"/>
      <c r="H118" s="28"/>
    </row>
    <row r="119" spans="1:8" ht="31.5" hidden="1" x14ac:dyDescent="0.25">
      <c r="C119" s="27" t="s">
        <v>362</v>
      </c>
      <c r="D119" s="145"/>
      <c r="E119" s="128">
        <v>100</v>
      </c>
      <c r="F119" s="143"/>
      <c r="G119" s="11"/>
      <c r="H119" s="11"/>
    </row>
    <row r="120" spans="1:8" ht="21" hidden="1" customHeight="1" thickBot="1" x14ac:dyDescent="0.3">
      <c r="C120" s="148" t="s">
        <v>159</v>
      </c>
      <c r="D120" s="149"/>
      <c r="E120" s="150">
        <f>SUM(E113:E119)</f>
        <v>30051</v>
      </c>
      <c r="F120" s="151"/>
      <c r="G120" s="152"/>
      <c r="H120" s="153"/>
    </row>
    <row r="121" spans="1:8" s="159" customFormat="1" ht="19.5" hidden="1" customHeight="1" thickBot="1" x14ac:dyDescent="0.3">
      <c r="A121" s="104">
        <v>1</v>
      </c>
      <c r="B121" s="104"/>
      <c r="C121" s="154" t="s">
        <v>220</v>
      </c>
      <c r="D121" s="155"/>
      <c r="E121" s="156"/>
      <c r="F121" s="157"/>
      <c r="G121" s="158"/>
      <c r="H121" s="157"/>
    </row>
    <row r="122" spans="1:8" hidden="1" x14ac:dyDescent="0.25">
      <c r="A122" s="104">
        <v>1</v>
      </c>
      <c r="C122" s="160"/>
      <c r="D122" s="161"/>
      <c r="E122" s="103"/>
      <c r="F122" s="10"/>
      <c r="G122" s="10"/>
      <c r="H122" s="10"/>
    </row>
    <row r="123" spans="1:8" ht="43.5" x14ac:dyDescent="0.25">
      <c r="A123" s="104">
        <v>1</v>
      </c>
      <c r="B123" s="109" t="s">
        <v>223</v>
      </c>
      <c r="C123" s="674" t="s">
        <v>371</v>
      </c>
      <c r="D123" s="115"/>
      <c r="E123" s="103"/>
      <c r="F123" s="10"/>
      <c r="G123" s="10"/>
      <c r="H123" s="10"/>
    </row>
    <row r="124" spans="1:8" ht="18" customHeight="1" x14ac:dyDescent="0.25">
      <c r="A124" s="104">
        <v>1</v>
      </c>
      <c r="B124" s="109" t="s">
        <v>223</v>
      </c>
      <c r="C124" s="112" t="s">
        <v>4</v>
      </c>
      <c r="D124" s="115"/>
      <c r="E124" s="103"/>
      <c r="F124" s="10"/>
      <c r="G124" s="10"/>
      <c r="H124" s="10"/>
    </row>
    <row r="125" spans="1:8" ht="12.75" customHeight="1" x14ac:dyDescent="0.25">
      <c r="A125" s="104">
        <v>1</v>
      </c>
      <c r="B125" s="109" t="s">
        <v>223</v>
      </c>
      <c r="C125" s="117" t="s">
        <v>25</v>
      </c>
      <c r="D125" s="115">
        <v>310</v>
      </c>
      <c r="E125" s="10">
        <v>466</v>
      </c>
      <c r="F125" s="116">
        <v>14</v>
      </c>
      <c r="G125" s="2">
        <f t="shared" ref="G125:G134" si="4">ROUND(H125/D125,0)</f>
        <v>21</v>
      </c>
      <c r="H125" s="10">
        <f t="shared" ref="H125:H134" si="5">ROUND(E125*F125,0)</f>
        <v>6524</v>
      </c>
    </row>
    <row r="126" spans="1:8" x14ac:dyDescent="0.25">
      <c r="A126" s="104">
        <v>1</v>
      </c>
      <c r="B126" s="109" t="s">
        <v>223</v>
      </c>
      <c r="C126" s="117" t="s">
        <v>20</v>
      </c>
      <c r="D126" s="115">
        <v>340</v>
      </c>
      <c r="E126" s="10">
        <v>1981</v>
      </c>
      <c r="F126" s="130">
        <v>8</v>
      </c>
      <c r="G126" s="2">
        <f t="shared" si="4"/>
        <v>47</v>
      </c>
      <c r="H126" s="10">
        <f t="shared" si="5"/>
        <v>15848</v>
      </c>
    </row>
    <row r="127" spans="1:8" ht="30" x14ac:dyDescent="0.25">
      <c r="A127" s="104">
        <v>1</v>
      </c>
      <c r="B127" s="109" t="s">
        <v>223</v>
      </c>
      <c r="C127" s="162" t="s">
        <v>85</v>
      </c>
      <c r="D127" s="115">
        <v>340</v>
      </c>
      <c r="E127" s="10">
        <v>1644</v>
      </c>
      <c r="F127" s="130">
        <v>8.1999999999999993</v>
      </c>
      <c r="G127" s="2">
        <f t="shared" si="4"/>
        <v>40</v>
      </c>
      <c r="H127" s="10">
        <f t="shared" si="5"/>
        <v>13481</v>
      </c>
    </row>
    <row r="128" spans="1:8" x14ac:dyDescent="0.25">
      <c r="A128" s="104">
        <v>1</v>
      </c>
      <c r="B128" s="109" t="s">
        <v>223</v>
      </c>
      <c r="C128" s="117" t="s">
        <v>55</v>
      </c>
      <c r="D128" s="115">
        <v>340</v>
      </c>
      <c r="E128" s="10">
        <v>4193</v>
      </c>
      <c r="F128" s="116">
        <v>11.55</v>
      </c>
      <c r="G128" s="2">
        <f t="shared" si="4"/>
        <v>142</v>
      </c>
      <c r="H128" s="10">
        <f>ROUND(E128*F128,0)</f>
        <v>48429</v>
      </c>
    </row>
    <row r="129" spans="1:11" x14ac:dyDescent="0.25">
      <c r="B129" s="109"/>
      <c r="C129" s="117" t="s">
        <v>63</v>
      </c>
      <c r="D129" s="115">
        <v>340</v>
      </c>
      <c r="E129" s="10">
        <v>1728</v>
      </c>
      <c r="F129" s="116">
        <v>11</v>
      </c>
      <c r="G129" s="2">
        <f t="shared" si="4"/>
        <v>56</v>
      </c>
      <c r="H129" s="10">
        <f t="shared" si="5"/>
        <v>19008</v>
      </c>
    </row>
    <row r="130" spans="1:11" x14ac:dyDescent="0.25">
      <c r="A130" s="104">
        <v>1</v>
      </c>
      <c r="B130" s="109" t="s">
        <v>223</v>
      </c>
      <c r="C130" s="117" t="s">
        <v>64</v>
      </c>
      <c r="D130" s="115">
        <v>340</v>
      </c>
      <c r="E130" s="10">
        <v>346</v>
      </c>
      <c r="F130" s="116">
        <v>23</v>
      </c>
      <c r="G130" s="2">
        <f t="shared" si="4"/>
        <v>23</v>
      </c>
      <c r="H130" s="10">
        <f t="shared" si="5"/>
        <v>7958</v>
      </c>
    </row>
    <row r="131" spans="1:11" x14ac:dyDescent="0.25">
      <c r="A131" s="104">
        <v>1</v>
      </c>
      <c r="B131" s="109" t="s">
        <v>223</v>
      </c>
      <c r="C131" s="117" t="s">
        <v>164</v>
      </c>
      <c r="D131" s="115">
        <v>340</v>
      </c>
      <c r="E131" s="10">
        <v>0</v>
      </c>
      <c r="F131" s="116">
        <v>8.64</v>
      </c>
      <c r="G131" s="2">
        <f t="shared" si="4"/>
        <v>0</v>
      </c>
      <c r="H131" s="10">
        <f t="shared" si="5"/>
        <v>0</v>
      </c>
    </row>
    <row r="132" spans="1:11" x14ac:dyDescent="0.25">
      <c r="A132" s="104">
        <v>1</v>
      </c>
      <c r="B132" s="109" t="s">
        <v>223</v>
      </c>
      <c r="C132" s="117" t="s">
        <v>60</v>
      </c>
      <c r="D132" s="115">
        <v>340</v>
      </c>
      <c r="E132" s="10">
        <v>2448</v>
      </c>
      <c r="F132" s="116">
        <v>11</v>
      </c>
      <c r="G132" s="2">
        <f t="shared" si="4"/>
        <v>79</v>
      </c>
      <c r="H132" s="10">
        <f t="shared" si="5"/>
        <v>26928</v>
      </c>
    </row>
    <row r="133" spans="1:11" x14ac:dyDescent="0.25">
      <c r="A133" s="104">
        <v>1</v>
      </c>
      <c r="B133" s="109" t="s">
        <v>223</v>
      </c>
      <c r="C133" s="117" t="s">
        <v>56</v>
      </c>
      <c r="D133" s="115">
        <v>340</v>
      </c>
      <c r="E133" s="10">
        <f>3211-2-3</f>
        <v>3206</v>
      </c>
      <c r="F133" s="116">
        <v>9.27</v>
      </c>
      <c r="G133" s="2">
        <f t="shared" si="4"/>
        <v>87</v>
      </c>
      <c r="H133" s="10">
        <f>ROUND(E133*F133,0)</f>
        <v>29720</v>
      </c>
    </row>
    <row r="134" spans="1:11" x14ac:dyDescent="0.25">
      <c r="A134" s="104">
        <v>1</v>
      </c>
      <c r="B134" s="109" t="s">
        <v>223</v>
      </c>
      <c r="C134" s="117" t="s">
        <v>10</v>
      </c>
      <c r="D134" s="115">
        <v>340</v>
      </c>
      <c r="E134" s="10">
        <v>1769</v>
      </c>
      <c r="F134" s="163">
        <v>10</v>
      </c>
      <c r="G134" s="2">
        <f t="shared" si="4"/>
        <v>52</v>
      </c>
      <c r="H134" s="10">
        <f t="shared" si="5"/>
        <v>17690</v>
      </c>
    </row>
    <row r="135" spans="1:11" s="124" customFormat="1" ht="16.5" customHeight="1" x14ac:dyDescent="0.25">
      <c r="A135" s="104">
        <v>1</v>
      </c>
      <c r="B135" s="109" t="s">
        <v>223</v>
      </c>
      <c r="C135" s="120" t="s">
        <v>5</v>
      </c>
      <c r="D135" s="115"/>
      <c r="E135" s="164">
        <f>SUM(E125:E134)</f>
        <v>17781</v>
      </c>
      <c r="F135" s="143">
        <f>H135/E135</f>
        <v>10.43732073561667</v>
      </c>
      <c r="G135" s="29">
        <f>SUM(G125:G134)</f>
        <v>547</v>
      </c>
      <c r="H135" s="11">
        <f>SUM(H125:H134)</f>
        <v>185586</v>
      </c>
      <c r="I135" s="165">
        <f>E135-E136</f>
        <v>15972</v>
      </c>
      <c r="J135" s="166"/>
      <c r="K135" s="167"/>
    </row>
    <row r="136" spans="1:11" s="124" customFormat="1" ht="16.5" customHeight="1" x14ac:dyDescent="0.25">
      <c r="A136" s="104"/>
      <c r="B136" s="109" t="s">
        <v>223</v>
      </c>
      <c r="C136" s="120" t="s">
        <v>213</v>
      </c>
      <c r="D136" s="115"/>
      <c r="E136" s="164">
        <v>1809</v>
      </c>
      <c r="F136" s="143"/>
      <c r="G136" s="29"/>
      <c r="H136" s="11"/>
      <c r="I136" s="168"/>
      <c r="J136" s="166"/>
    </row>
    <row r="137" spans="1:11" s="124" customFormat="1" x14ac:dyDescent="0.25">
      <c r="A137" s="104">
        <v>1</v>
      </c>
      <c r="B137" s="109" t="s">
        <v>223</v>
      </c>
      <c r="C137" s="12" t="s">
        <v>6</v>
      </c>
      <c r="D137" s="13"/>
      <c r="E137" s="103"/>
      <c r="F137" s="2"/>
      <c r="G137" s="2"/>
      <c r="H137" s="10"/>
    </row>
    <row r="138" spans="1:11" s="124" customFormat="1" x14ac:dyDescent="0.25">
      <c r="A138" s="104"/>
      <c r="B138" s="109" t="s">
        <v>223</v>
      </c>
      <c r="C138" s="12" t="s">
        <v>96</v>
      </c>
      <c r="D138" s="13"/>
      <c r="E138" s="103"/>
      <c r="F138" s="2"/>
      <c r="G138" s="2"/>
      <c r="H138" s="10"/>
    </row>
    <row r="139" spans="1:11" s="124" customFormat="1" ht="18.75" customHeight="1" x14ac:dyDescent="0.25">
      <c r="A139" s="104"/>
      <c r="B139" s="109" t="s">
        <v>223</v>
      </c>
      <c r="C139" s="14" t="s">
        <v>296</v>
      </c>
      <c r="D139" s="13"/>
      <c r="E139" s="125">
        <f>E141+E145</f>
        <v>11900</v>
      </c>
      <c r="F139" s="2"/>
      <c r="G139" s="2"/>
      <c r="H139" s="10"/>
    </row>
    <row r="140" spans="1:11" s="124" customFormat="1" ht="18.75" customHeight="1" x14ac:dyDescent="0.25">
      <c r="A140" s="104"/>
      <c r="B140" s="109" t="s">
        <v>223</v>
      </c>
      <c r="C140" s="15" t="s">
        <v>297</v>
      </c>
      <c r="D140" s="13"/>
      <c r="E140" s="103"/>
      <c r="F140" s="2"/>
      <c r="G140" s="2"/>
      <c r="H140" s="10"/>
    </row>
    <row r="141" spans="1:11" s="124" customFormat="1" ht="30" x14ac:dyDescent="0.25">
      <c r="A141" s="104"/>
      <c r="B141" s="109" t="s">
        <v>223</v>
      </c>
      <c r="C141" s="16" t="s">
        <v>298</v>
      </c>
      <c r="D141" s="13"/>
      <c r="E141" s="103">
        <f>E142+E143</f>
        <v>11900</v>
      </c>
      <c r="F141" s="2"/>
      <c r="G141" s="2"/>
      <c r="H141" s="10"/>
    </row>
    <row r="142" spans="1:11" s="124" customFormat="1" x14ac:dyDescent="0.25">
      <c r="A142" s="104"/>
      <c r="B142" s="109" t="s">
        <v>223</v>
      </c>
      <c r="C142" s="15" t="s">
        <v>299</v>
      </c>
      <c r="D142" s="13"/>
      <c r="E142" s="103">
        <f>11060+640</f>
        <v>11700</v>
      </c>
      <c r="F142" s="2"/>
      <c r="G142" s="2"/>
      <c r="H142" s="10"/>
    </row>
    <row r="143" spans="1:11" s="124" customFormat="1" ht="50.25" customHeight="1" x14ac:dyDescent="0.25">
      <c r="A143" s="104"/>
      <c r="B143" s="109" t="s">
        <v>223</v>
      </c>
      <c r="C143" s="15" t="s">
        <v>301</v>
      </c>
      <c r="D143" s="13"/>
      <c r="E143" s="103">
        <v>200</v>
      </c>
      <c r="F143" s="2"/>
      <c r="G143" s="2"/>
      <c r="H143" s="10"/>
    </row>
    <row r="144" spans="1:11" s="124" customFormat="1" ht="60" x14ac:dyDescent="0.25">
      <c r="A144" s="104"/>
      <c r="B144" s="109" t="s">
        <v>223</v>
      </c>
      <c r="C144" s="15" t="s">
        <v>309</v>
      </c>
      <c r="D144" s="13"/>
      <c r="E144" s="103"/>
      <c r="F144" s="2"/>
      <c r="G144" s="2"/>
      <c r="H144" s="10"/>
    </row>
    <row r="145" spans="1:8" s="124" customFormat="1" ht="45" x14ac:dyDescent="0.25">
      <c r="A145" s="104"/>
      <c r="B145" s="109" t="s">
        <v>223</v>
      </c>
      <c r="C145" s="18" t="s">
        <v>310</v>
      </c>
      <c r="D145" s="13"/>
      <c r="E145" s="103">
        <v>0</v>
      </c>
      <c r="F145" s="2"/>
      <c r="G145" s="2"/>
      <c r="H145" s="10"/>
    </row>
    <row r="146" spans="1:8" s="124" customFormat="1" x14ac:dyDescent="0.25">
      <c r="A146" s="104">
        <v>1</v>
      </c>
      <c r="B146" s="109" t="s">
        <v>223</v>
      </c>
      <c r="C146" s="14" t="s">
        <v>303</v>
      </c>
      <c r="D146" s="13"/>
      <c r="E146" s="103">
        <f>E147</f>
        <v>1850</v>
      </c>
      <c r="F146" s="2"/>
      <c r="G146" s="2"/>
      <c r="H146" s="10"/>
    </row>
    <row r="147" spans="1:8" s="124" customFormat="1" x14ac:dyDescent="0.25">
      <c r="A147" s="104"/>
      <c r="B147" s="109"/>
      <c r="C147" s="14" t="s">
        <v>304</v>
      </c>
      <c r="D147" s="13"/>
      <c r="E147" s="103">
        <f>1650+200</f>
        <v>1850</v>
      </c>
      <c r="F147" s="2"/>
      <c r="G147" s="2"/>
      <c r="H147" s="10"/>
    </row>
    <row r="148" spans="1:8" s="124" customFormat="1" ht="29.25" x14ac:dyDescent="0.25">
      <c r="A148" s="104">
        <v>1</v>
      </c>
      <c r="B148" s="109" t="s">
        <v>223</v>
      </c>
      <c r="C148" s="14" t="s">
        <v>306</v>
      </c>
      <c r="D148" s="13"/>
      <c r="E148" s="103">
        <f>E149</f>
        <v>26000</v>
      </c>
      <c r="F148" s="2"/>
      <c r="G148" s="2"/>
      <c r="H148" s="10"/>
    </row>
    <row r="149" spans="1:8" s="124" customFormat="1" ht="30" x14ac:dyDescent="0.25">
      <c r="A149" s="104">
        <v>1</v>
      </c>
      <c r="B149" s="109" t="s">
        <v>223</v>
      </c>
      <c r="C149" s="19" t="s">
        <v>115</v>
      </c>
      <c r="D149" s="13"/>
      <c r="E149" s="103">
        <f>28000-2000</f>
        <v>26000</v>
      </c>
      <c r="F149" s="2"/>
      <c r="G149" s="2"/>
      <c r="H149" s="10"/>
    </row>
    <row r="150" spans="1:8" s="124" customFormat="1" ht="57.75" x14ac:dyDescent="0.25">
      <c r="A150" s="104">
        <v>1</v>
      </c>
      <c r="B150" s="109" t="s">
        <v>223</v>
      </c>
      <c r="C150" s="14" t="s">
        <v>312</v>
      </c>
      <c r="D150" s="13"/>
      <c r="E150" s="103">
        <v>20660</v>
      </c>
      <c r="F150" s="2"/>
      <c r="G150" s="2"/>
      <c r="H150" s="10"/>
    </row>
    <row r="151" spans="1:8" s="124" customFormat="1" x14ac:dyDescent="0.25">
      <c r="A151" s="104">
        <v>1</v>
      </c>
      <c r="B151" s="109" t="s">
        <v>223</v>
      </c>
      <c r="C151" s="169" t="s">
        <v>89</v>
      </c>
      <c r="D151" s="121"/>
      <c r="E151" s="140">
        <f>SUM(E152:E155)</f>
        <v>12470</v>
      </c>
      <c r="F151" s="2"/>
      <c r="G151" s="2"/>
      <c r="H151" s="10"/>
    </row>
    <row r="152" spans="1:8" s="124" customFormat="1" x14ac:dyDescent="0.25">
      <c r="A152" s="104">
        <v>1</v>
      </c>
      <c r="B152" s="109" t="s">
        <v>223</v>
      </c>
      <c r="C152" s="170" t="s">
        <v>17</v>
      </c>
      <c r="D152" s="121"/>
      <c r="E152" s="103">
        <f>4600+6190</f>
        <v>10790</v>
      </c>
      <c r="F152" s="2"/>
      <c r="G152" s="2"/>
      <c r="H152" s="10"/>
    </row>
    <row r="153" spans="1:8" s="124" customFormat="1" ht="30" x14ac:dyDescent="0.25">
      <c r="A153" s="104">
        <v>1</v>
      </c>
      <c r="B153" s="109" t="s">
        <v>223</v>
      </c>
      <c r="C153" s="162" t="s">
        <v>139</v>
      </c>
      <c r="D153" s="121"/>
      <c r="E153" s="103">
        <f>389-229</f>
        <v>160</v>
      </c>
      <c r="F153" s="2"/>
      <c r="G153" s="2"/>
      <c r="H153" s="10"/>
    </row>
    <row r="154" spans="1:8" s="124" customFormat="1" x14ac:dyDescent="0.25">
      <c r="A154" s="104">
        <v>1</v>
      </c>
      <c r="B154" s="109" t="s">
        <v>223</v>
      </c>
      <c r="C154" s="170" t="s">
        <v>204</v>
      </c>
      <c r="D154" s="121"/>
      <c r="E154" s="103">
        <v>1300</v>
      </c>
      <c r="F154" s="2"/>
      <c r="G154" s="2"/>
      <c r="H154" s="10"/>
    </row>
    <row r="155" spans="1:8" s="124" customFormat="1" x14ac:dyDescent="0.25">
      <c r="A155" s="104">
        <v>1</v>
      </c>
      <c r="B155" s="109" t="s">
        <v>223</v>
      </c>
      <c r="C155" s="170" t="s">
        <v>216</v>
      </c>
      <c r="D155" s="121"/>
      <c r="E155" s="103">
        <f>400-180</f>
        <v>220</v>
      </c>
      <c r="F155" s="2"/>
      <c r="G155" s="2"/>
      <c r="H155" s="10"/>
    </row>
    <row r="156" spans="1:8" s="124" customFormat="1" x14ac:dyDescent="0.25">
      <c r="A156" s="104"/>
      <c r="B156" s="109" t="s">
        <v>223</v>
      </c>
      <c r="C156" s="21" t="s">
        <v>198</v>
      </c>
      <c r="D156" s="13"/>
      <c r="E156" s="103">
        <f>E139</f>
        <v>11900</v>
      </c>
      <c r="F156" s="10"/>
      <c r="G156" s="10"/>
      <c r="H156" s="10"/>
    </row>
    <row r="157" spans="1:8" s="124" customFormat="1" x14ac:dyDescent="0.25">
      <c r="A157" s="104"/>
      <c r="B157" s="109" t="s">
        <v>223</v>
      </c>
      <c r="C157" s="21" t="s">
        <v>200</v>
      </c>
      <c r="D157" s="13"/>
      <c r="E157" s="103">
        <f>E146</f>
        <v>1850</v>
      </c>
      <c r="F157" s="10"/>
      <c r="G157" s="10"/>
      <c r="H157" s="10"/>
    </row>
    <row r="158" spans="1:8" s="124" customFormat="1" ht="29.25" x14ac:dyDescent="0.25">
      <c r="A158" s="104"/>
      <c r="B158" s="109" t="s">
        <v>223</v>
      </c>
      <c r="C158" s="21" t="s">
        <v>201</v>
      </c>
      <c r="D158" s="13"/>
      <c r="E158" s="103">
        <f>E150+E148</f>
        <v>46660</v>
      </c>
      <c r="F158" s="10"/>
      <c r="G158" s="10"/>
      <c r="H158" s="10"/>
    </row>
    <row r="159" spans="1:8" s="124" customFormat="1" x14ac:dyDescent="0.25">
      <c r="A159" s="104"/>
      <c r="B159" s="109" t="s">
        <v>223</v>
      </c>
      <c r="C159" s="22" t="s">
        <v>109</v>
      </c>
      <c r="D159" s="17"/>
      <c r="E159" s="125">
        <f>E158+E156+E157*2.9</f>
        <v>63925</v>
      </c>
      <c r="F159" s="10"/>
      <c r="G159" s="10"/>
      <c r="H159" s="10"/>
    </row>
    <row r="160" spans="1:8" s="124" customFormat="1" x14ac:dyDescent="0.25">
      <c r="A160" s="104">
        <v>1</v>
      </c>
      <c r="B160" s="109" t="s">
        <v>223</v>
      </c>
      <c r="C160" s="30" t="s">
        <v>7</v>
      </c>
      <c r="D160" s="121"/>
      <c r="E160" s="125"/>
      <c r="F160" s="2"/>
      <c r="G160" s="2"/>
      <c r="H160" s="10"/>
    </row>
    <row r="161" spans="1:9" s="124" customFormat="1" ht="15.75" x14ac:dyDescent="0.25">
      <c r="A161" s="104">
        <v>1</v>
      </c>
      <c r="B161" s="109" t="s">
        <v>223</v>
      </c>
      <c r="C161" s="129" t="s">
        <v>91</v>
      </c>
      <c r="D161" s="121"/>
      <c r="E161" s="125"/>
      <c r="F161" s="2"/>
      <c r="G161" s="2"/>
      <c r="H161" s="10"/>
    </row>
    <row r="162" spans="1:9" s="124" customFormat="1" x14ac:dyDescent="0.25">
      <c r="A162" s="104">
        <v>1</v>
      </c>
      <c r="B162" s="109" t="s">
        <v>223</v>
      </c>
      <c r="C162" s="1" t="s">
        <v>63</v>
      </c>
      <c r="D162" s="24">
        <v>300</v>
      </c>
      <c r="E162" s="103">
        <v>45</v>
      </c>
      <c r="F162" s="130">
        <v>8.5</v>
      </c>
      <c r="G162" s="2">
        <f>ROUND(H162/D162,0)</f>
        <v>1</v>
      </c>
      <c r="H162" s="10">
        <f>ROUND(E162*F162,0)</f>
        <v>383</v>
      </c>
    </row>
    <row r="163" spans="1:9" s="124" customFormat="1" x14ac:dyDescent="0.25">
      <c r="A163" s="104">
        <v>1</v>
      </c>
      <c r="B163" s="109" t="s">
        <v>223</v>
      </c>
      <c r="C163" s="1" t="s">
        <v>56</v>
      </c>
      <c r="D163" s="24">
        <v>300</v>
      </c>
      <c r="E163" s="681">
        <v>63</v>
      </c>
      <c r="F163" s="130">
        <v>8.5</v>
      </c>
      <c r="G163" s="2">
        <f>ROUND(H163/D163,0)</f>
        <v>2</v>
      </c>
      <c r="H163" s="10">
        <f>ROUND(E163*F163,0)</f>
        <v>536</v>
      </c>
    </row>
    <row r="164" spans="1:9" s="124" customFormat="1" x14ac:dyDescent="0.25">
      <c r="A164" s="104">
        <v>1</v>
      </c>
      <c r="B164" s="109" t="s">
        <v>223</v>
      </c>
      <c r="C164" s="1" t="s">
        <v>10</v>
      </c>
      <c r="D164" s="24">
        <v>300</v>
      </c>
      <c r="E164" s="103">
        <v>77</v>
      </c>
      <c r="F164" s="130">
        <v>8.5</v>
      </c>
      <c r="G164" s="2">
        <f>ROUND(H164/D164,0)</f>
        <v>2</v>
      </c>
      <c r="H164" s="10">
        <f>ROUND(E164*F164,0)</f>
        <v>655</v>
      </c>
    </row>
    <row r="165" spans="1:9" s="124" customFormat="1" x14ac:dyDescent="0.25">
      <c r="A165" s="104">
        <v>1</v>
      </c>
      <c r="B165" s="109" t="s">
        <v>223</v>
      </c>
      <c r="C165" s="139" t="s">
        <v>9</v>
      </c>
      <c r="D165" s="121"/>
      <c r="E165" s="140">
        <f>SUM(E162:E164)</f>
        <v>185</v>
      </c>
      <c r="F165" s="171">
        <f>H165/E165</f>
        <v>8.5081081081081074</v>
      </c>
      <c r="G165" s="31">
        <f>SUM(G162:G164)</f>
        <v>5</v>
      </c>
      <c r="H165" s="141">
        <f>SUM(H162:H164)</f>
        <v>1574</v>
      </c>
      <c r="I165" s="172"/>
    </row>
    <row r="166" spans="1:9" s="124" customFormat="1" ht="15.75" customHeight="1" x14ac:dyDescent="0.25">
      <c r="A166" s="104">
        <v>1</v>
      </c>
      <c r="B166" s="109" t="s">
        <v>223</v>
      </c>
      <c r="C166" s="26" t="s">
        <v>86</v>
      </c>
      <c r="D166" s="145"/>
      <c r="E166" s="173">
        <f>E165</f>
        <v>185</v>
      </c>
      <c r="F166" s="174">
        <f>H166/E166</f>
        <v>8.5081081081081074</v>
      </c>
      <c r="G166" s="153">
        <f>G165</f>
        <v>5</v>
      </c>
      <c r="H166" s="153">
        <f>H165</f>
        <v>1574</v>
      </c>
      <c r="I166" s="172"/>
    </row>
    <row r="167" spans="1:9" s="124" customFormat="1" ht="12.75" customHeight="1" x14ac:dyDescent="0.25">
      <c r="A167" s="104"/>
      <c r="B167" s="109" t="s">
        <v>223</v>
      </c>
      <c r="C167" s="175"/>
      <c r="D167" s="176"/>
      <c r="E167" s="173"/>
      <c r="F167" s="177"/>
      <c r="G167" s="153"/>
      <c r="H167" s="11"/>
      <c r="I167" s="172"/>
    </row>
    <row r="168" spans="1:9" s="124" customFormat="1" ht="30" x14ac:dyDescent="0.25">
      <c r="A168" s="104"/>
      <c r="B168" s="109" t="s">
        <v>223</v>
      </c>
      <c r="C168" s="178" t="s">
        <v>332</v>
      </c>
      <c r="D168" s="121"/>
      <c r="E168" s="179"/>
      <c r="F168" s="180"/>
      <c r="G168" s="28"/>
      <c r="H168" s="181"/>
      <c r="I168" s="172"/>
    </row>
    <row r="169" spans="1:9" s="124" customFormat="1" ht="30" x14ac:dyDescent="0.25">
      <c r="A169" s="104"/>
      <c r="B169" s="109"/>
      <c r="C169" s="178" t="s">
        <v>333</v>
      </c>
      <c r="D169" s="182"/>
      <c r="E169" s="179"/>
      <c r="F169" s="180"/>
      <c r="G169" s="28"/>
      <c r="H169" s="28"/>
      <c r="I169" s="172"/>
    </row>
    <row r="170" spans="1:9" s="124" customFormat="1" ht="37.5" customHeight="1" x14ac:dyDescent="0.25">
      <c r="A170" s="104"/>
      <c r="B170" s="109" t="s">
        <v>223</v>
      </c>
      <c r="C170" s="178" t="s">
        <v>334</v>
      </c>
      <c r="D170" s="145"/>
      <c r="E170" s="183"/>
      <c r="F170" s="180"/>
      <c r="G170" s="28"/>
      <c r="H170" s="28"/>
      <c r="I170" s="172"/>
    </row>
    <row r="171" spans="1:9" s="124" customFormat="1" ht="31.5" customHeight="1" thickBot="1" x14ac:dyDescent="0.3">
      <c r="A171" s="104"/>
      <c r="B171" s="109" t="s">
        <v>223</v>
      </c>
      <c r="C171" s="102" t="s">
        <v>320</v>
      </c>
      <c r="D171" s="149"/>
      <c r="E171" s="184">
        <f>SUM(E168:E170)</f>
        <v>0</v>
      </c>
      <c r="F171" s="177"/>
      <c r="G171" s="153"/>
      <c r="H171" s="181"/>
      <c r="I171" s="172"/>
    </row>
    <row r="172" spans="1:9" s="159" customFormat="1" ht="15.75" thickBot="1" x14ac:dyDescent="0.3">
      <c r="A172" s="104">
        <v>1</v>
      </c>
      <c r="B172" s="109" t="s">
        <v>223</v>
      </c>
      <c r="C172" s="154" t="s">
        <v>220</v>
      </c>
      <c r="D172" s="155"/>
      <c r="E172" s="185"/>
      <c r="F172" s="186"/>
      <c r="G172" s="187"/>
      <c r="H172" s="188"/>
    </row>
    <row r="173" spans="1:9" hidden="1" x14ac:dyDescent="0.25">
      <c r="A173" s="104">
        <v>1</v>
      </c>
      <c r="C173" s="189"/>
      <c r="D173" s="161"/>
      <c r="E173" s="103"/>
      <c r="F173" s="10"/>
      <c r="G173" s="10"/>
      <c r="H173" s="10"/>
      <c r="I173" s="159"/>
    </row>
    <row r="174" spans="1:9" ht="43.5" hidden="1" x14ac:dyDescent="0.25">
      <c r="A174" s="109" t="s">
        <v>224</v>
      </c>
      <c r="B174" s="109" t="s">
        <v>224</v>
      </c>
      <c r="C174" s="674" t="s">
        <v>372</v>
      </c>
      <c r="D174" s="121"/>
      <c r="E174" s="103"/>
      <c r="F174" s="10"/>
      <c r="G174" s="10"/>
      <c r="H174" s="10"/>
    </row>
    <row r="175" spans="1:9" hidden="1" x14ac:dyDescent="0.25">
      <c r="A175" s="109" t="s">
        <v>224</v>
      </c>
      <c r="B175" s="109" t="s">
        <v>224</v>
      </c>
      <c r="C175" s="112" t="s">
        <v>4</v>
      </c>
      <c r="D175" s="121"/>
      <c r="E175" s="103"/>
      <c r="F175" s="10"/>
      <c r="G175" s="10"/>
      <c r="H175" s="10"/>
    </row>
    <row r="176" spans="1:9" hidden="1" x14ac:dyDescent="0.25">
      <c r="A176" s="109" t="s">
        <v>224</v>
      </c>
      <c r="B176" s="109" t="s">
        <v>224</v>
      </c>
      <c r="C176" s="32" t="s">
        <v>21</v>
      </c>
      <c r="D176" s="115">
        <v>340</v>
      </c>
      <c r="E176" s="10">
        <v>2460</v>
      </c>
      <c r="F176" s="116">
        <v>6.9</v>
      </c>
      <c r="G176" s="2">
        <f t="shared" ref="G176:G181" si="6">ROUND(H176/D176,0)</f>
        <v>50</v>
      </c>
      <c r="H176" s="10">
        <f t="shared" ref="H176:H182" si="7">ROUND(E176*F176,0)</f>
        <v>16974</v>
      </c>
    </row>
    <row r="177" spans="1:10" hidden="1" x14ac:dyDescent="0.25">
      <c r="A177" s="109" t="s">
        <v>224</v>
      </c>
      <c r="B177" s="109" t="s">
        <v>224</v>
      </c>
      <c r="C177" s="32" t="s">
        <v>26</v>
      </c>
      <c r="D177" s="115">
        <v>300</v>
      </c>
      <c r="E177" s="10">
        <v>3520</v>
      </c>
      <c r="F177" s="116">
        <v>5</v>
      </c>
      <c r="G177" s="2">
        <f t="shared" si="6"/>
        <v>59</v>
      </c>
      <c r="H177" s="10">
        <f t="shared" si="7"/>
        <v>17600</v>
      </c>
    </row>
    <row r="178" spans="1:10" ht="15.75" hidden="1" customHeight="1" x14ac:dyDescent="0.25">
      <c r="A178" s="109" t="s">
        <v>224</v>
      </c>
      <c r="B178" s="109" t="s">
        <v>224</v>
      </c>
      <c r="C178" s="32" t="s">
        <v>107</v>
      </c>
      <c r="D178" s="115">
        <v>330</v>
      </c>
      <c r="E178" s="10">
        <v>450</v>
      </c>
      <c r="F178" s="116">
        <v>5.0999999999999996</v>
      </c>
      <c r="G178" s="2">
        <f t="shared" si="6"/>
        <v>7</v>
      </c>
      <c r="H178" s="10">
        <f t="shared" si="7"/>
        <v>2295</v>
      </c>
    </row>
    <row r="179" spans="1:10" hidden="1" x14ac:dyDescent="0.25">
      <c r="A179" s="109" t="s">
        <v>224</v>
      </c>
      <c r="B179" s="109" t="s">
        <v>224</v>
      </c>
      <c r="C179" s="32" t="s">
        <v>22</v>
      </c>
      <c r="D179" s="115">
        <v>330</v>
      </c>
      <c r="E179" s="10">
        <v>1688</v>
      </c>
      <c r="F179" s="116">
        <v>7.3</v>
      </c>
      <c r="G179" s="2">
        <f t="shared" si="6"/>
        <v>37</v>
      </c>
      <c r="H179" s="10">
        <f t="shared" si="7"/>
        <v>12322</v>
      </c>
    </row>
    <row r="180" spans="1:10" ht="28.5" hidden="1" customHeight="1" x14ac:dyDescent="0.25">
      <c r="A180" s="109" t="s">
        <v>224</v>
      </c>
      <c r="B180" s="109" t="s">
        <v>224</v>
      </c>
      <c r="C180" s="32" t="s">
        <v>79</v>
      </c>
      <c r="D180" s="115">
        <v>300</v>
      </c>
      <c r="E180" s="10">
        <v>1295</v>
      </c>
      <c r="F180" s="116">
        <v>16.399999999999999</v>
      </c>
      <c r="G180" s="2">
        <f t="shared" si="6"/>
        <v>71</v>
      </c>
      <c r="H180" s="10">
        <f t="shared" si="7"/>
        <v>21238</v>
      </c>
    </row>
    <row r="181" spans="1:10" hidden="1" x14ac:dyDescent="0.25">
      <c r="A181" s="109" t="s">
        <v>224</v>
      </c>
      <c r="B181" s="109" t="s">
        <v>224</v>
      </c>
      <c r="C181" s="32" t="s">
        <v>80</v>
      </c>
      <c r="D181" s="115">
        <v>300</v>
      </c>
      <c r="E181" s="10">
        <v>180</v>
      </c>
      <c r="F181" s="116">
        <v>13.3</v>
      </c>
      <c r="G181" s="2">
        <f t="shared" si="6"/>
        <v>8</v>
      </c>
      <c r="H181" s="10">
        <f t="shared" si="7"/>
        <v>2394</v>
      </c>
    </row>
    <row r="182" spans="1:10" hidden="1" x14ac:dyDescent="0.25">
      <c r="A182" s="109" t="s">
        <v>224</v>
      </c>
      <c r="B182" s="109" t="s">
        <v>224</v>
      </c>
      <c r="C182" s="32"/>
      <c r="D182" s="115"/>
      <c r="E182" s="103"/>
      <c r="F182" s="116"/>
      <c r="G182" s="2"/>
      <c r="H182" s="10">
        <f t="shared" si="7"/>
        <v>0</v>
      </c>
    </row>
    <row r="183" spans="1:10" s="124" customFormat="1" ht="17.25" hidden="1" customHeight="1" x14ac:dyDescent="0.25">
      <c r="A183" s="109" t="s">
        <v>224</v>
      </c>
      <c r="B183" s="109" t="s">
        <v>224</v>
      </c>
      <c r="C183" s="120" t="s">
        <v>5</v>
      </c>
      <c r="D183" s="190"/>
      <c r="E183" s="29">
        <f>SUM(E176:E182)</f>
        <v>9593</v>
      </c>
      <c r="F183" s="143">
        <f>H183/E183</f>
        <v>7.5912644636714273</v>
      </c>
      <c r="G183" s="29">
        <f>SUM(G176:G181)</f>
        <v>232</v>
      </c>
      <c r="H183" s="11">
        <f>SUM(H176:H182)</f>
        <v>72823</v>
      </c>
      <c r="I183" s="191">
        <f>E183-E184</f>
        <v>9499</v>
      </c>
      <c r="J183" s="191"/>
    </row>
    <row r="184" spans="1:10" s="124" customFormat="1" ht="17.25" hidden="1" customHeight="1" x14ac:dyDescent="0.25">
      <c r="A184" s="109" t="s">
        <v>224</v>
      </c>
      <c r="B184" s="109" t="s">
        <v>224</v>
      </c>
      <c r="C184" s="120" t="s">
        <v>213</v>
      </c>
      <c r="D184" s="190"/>
      <c r="E184" s="29">
        <v>94</v>
      </c>
      <c r="F184" s="143"/>
      <c r="G184" s="29"/>
      <c r="H184" s="11"/>
      <c r="I184" s="191"/>
      <c r="J184" s="191"/>
    </row>
    <row r="185" spans="1:10" s="124" customFormat="1" ht="17.25" hidden="1" customHeight="1" x14ac:dyDescent="0.25">
      <c r="A185" s="109" t="s">
        <v>224</v>
      </c>
      <c r="B185" s="109" t="s">
        <v>224</v>
      </c>
      <c r="C185" s="33" t="s">
        <v>108</v>
      </c>
      <c r="D185" s="17"/>
      <c r="E185" s="103"/>
      <c r="F185" s="2"/>
      <c r="G185" s="2"/>
      <c r="H185" s="10"/>
    </row>
    <row r="186" spans="1:10" s="124" customFormat="1" ht="17.25" hidden="1" customHeight="1" x14ac:dyDescent="0.25">
      <c r="A186" s="109" t="s">
        <v>224</v>
      </c>
      <c r="B186" s="109" t="s">
        <v>224</v>
      </c>
      <c r="C186" s="12" t="s">
        <v>96</v>
      </c>
      <c r="D186" s="17"/>
      <c r="E186" s="103"/>
      <c r="F186" s="2"/>
      <c r="G186" s="2"/>
      <c r="H186" s="10"/>
    </row>
    <row r="187" spans="1:10" s="124" customFormat="1" ht="45.75" hidden="1" customHeight="1" x14ac:dyDescent="0.25">
      <c r="A187" s="109" t="s">
        <v>224</v>
      </c>
      <c r="B187" s="109" t="s">
        <v>224</v>
      </c>
      <c r="C187" s="14" t="s">
        <v>308</v>
      </c>
      <c r="D187" s="17"/>
      <c r="E187" s="125">
        <f>E189+E192+E193</f>
        <v>38190</v>
      </c>
      <c r="F187" s="2"/>
      <c r="G187" s="2"/>
      <c r="H187" s="10"/>
    </row>
    <row r="188" spans="1:10" s="124" customFormat="1" ht="17.25" hidden="1" customHeight="1" x14ac:dyDescent="0.25">
      <c r="A188" s="109" t="s">
        <v>224</v>
      </c>
      <c r="B188" s="109" t="s">
        <v>224</v>
      </c>
      <c r="C188" s="15" t="s">
        <v>297</v>
      </c>
      <c r="D188" s="17"/>
      <c r="E188" s="103"/>
      <c r="F188" s="2"/>
      <c r="G188" s="2"/>
      <c r="H188" s="10"/>
    </row>
    <row r="189" spans="1:10" s="124" customFormat="1" ht="34.5" hidden="1" customHeight="1" x14ac:dyDescent="0.25">
      <c r="A189" s="109" t="s">
        <v>224</v>
      </c>
      <c r="B189" s="109" t="s">
        <v>224</v>
      </c>
      <c r="C189" s="16" t="s">
        <v>298</v>
      </c>
      <c r="D189" s="17"/>
      <c r="E189" s="103">
        <f>E190+E191</f>
        <v>35190</v>
      </c>
      <c r="F189" s="2"/>
      <c r="G189" s="2"/>
      <c r="H189" s="10"/>
    </row>
    <row r="190" spans="1:10" s="124" customFormat="1" hidden="1" x14ac:dyDescent="0.25">
      <c r="A190" s="109" t="s">
        <v>224</v>
      </c>
      <c r="B190" s="109" t="s">
        <v>224</v>
      </c>
      <c r="C190" s="15" t="s">
        <v>299</v>
      </c>
      <c r="D190" s="13"/>
      <c r="E190" s="103">
        <v>27190</v>
      </c>
      <c r="F190" s="10"/>
      <c r="G190" s="10"/>
      <c r="H190" s="10"/>
    </row>
    <row r="191" spans="1:10" s="124" customFormat="1" ht="45" hidden="1" customHeight="1" x14ac:dyDescent="0.25">
      <c r="A191" s="109" t="s">
        <v>224</v>
      </c>
      <c r="B191" s="109" t="s">
        <v>224</v>
      </c>
      <c r="C191" s="15" t="s">
        <v>301</v>
      </c>
      <c r="D191" s="17"/>
      <c r="E191" s="103">
        <v>8000</v>
      </c>
      <c r="F191" s="2"/>
      <c r="G191" s="2"/>
      <c r="H191" s="10"/>
    </row>
    <row r="192" spans="1:10" s="124" customFormat="1" ht="60" hidden="1" x14ac:dyDescent="0.25">
      <c r="A192" s="109" t="s">
        <v>224</v>
      </c>
      <c r="B192" s="109" t="s">
        <v>224</v>
      </c>
      <c r="C192" s="15" t="s">
        <v>309</v>
      </c>
      <c r="D192" s="17"/>
      <c r="E192" s="103"/>
      <c r="F192" s="2"/>
      <c r="G192" s="2"/>
      <c r="H192" s="10"/>
    </row>
    <row r="193" spans="1:8" s="124" customFormat="1" ht="55.5" hidden="1" customHeight="1" x14ac:dyDescent="0.25">
      <c r="A193" s="109" t="s">
        <v>224</v>
      </c>
      <c r="B193" s="109" t="s">
        <v>224</v>
      </c>
      <c r="C193" s="18" t="s">
        <v>310</v>
      </c>
      <c r="D193" s="17"/>
      <c r="E193" s="103">
        <v>3000</v>
      </c>
      <c r="F193" s="2"/>
      <c r="G193" s="2"/>
      <c r="H193" s="10"/>
    </row>
    <row r="194" spans="1:8" s="124" customFormat="1" ht="30" hidden="1" customHeight="1" x14ac:dyDescent="0.25">
      <c r="A194" s="109" t="s">
        <v>224</v>
      </c>
      <c r="B194" s="109" t="s">
        <v>224</v>
      </c>
      <c r="C194" s="14" t="s">
        <v>313</v>
      </c>
      <c r="D194" s="17"/>
      <c r="E194" s="125">
        <f>E195</f>
        <v>7200</v>
      </c>
      <c r="F194" s="2"/>
      <c r="G194" s="2"/>
      <c r="H194" s="10"/>
    </row>
    <row r="195" spans="1:8" s="124" customFormat="1" ht="30" hidden="1" customHeight="1" x14ac:dyDescent="0.25">
      <c r="A195" s="109"/>
      <c r="B195" s="109"/>
      <c r="C195" s="14" t="s">
        <v>304</v>
      </c>
      <c r="D195" s="17"/>
      <c r="E195" s="125">
        <v>7200</v>
      </c>
      <c r="F195" s="2"/>
      <c r="G195" s="2"/>
      <c r="H195" s="10"/>
    </row>
    <row r="196" spans="1:8" s="124" customFormat="1" ht="29.25" hidden="1" x14ac:dyDescent="0.25">
      <c r="A196" s="109" t="s">
        <v>224</v>
      </c>
      <c r="B196" s="109" t="s">
        <v>224</v>
      </c>
      <c r="C196" s="14" t="s">
        <v>306</v>
      </c>
      <c r="D196" s="17"/>
      <c r="E196" s="103"/>
      <c r="F196" s="2"/>
      <c r="G196" s="2"/>
      <c r="H196" s="10"/>
    </row>
    <row r="197" spans="1:8" s="124" customFormat="1" ht="30" hidden="1" x14ac:dyDescent="0.25">
      <c r="A197" s="109" t="s">
        <v>224</v>
      </c>
      <c r="B197" s="109" t="s">
        <v>224</v>
      </c>
      <c r="C197" s="19" t="s">
        <v>115</v>
      </c>
      <c r="D197" s="17"/>
      <c r="E197" s="103"/>
      <c r="F197" s="2"/>
      <c r="G197" s="2"/>
      <c r="H197" s="10"/>
    </row>
    <row r="198" spans="1:8" s="124" customFormat="1" ht="57.75" hidden="1" x14ac:dyDescent="0.25">
      <c r="A198" s="109" t="s">
        <v>224</v>
      </c>
      <c r="B198" s="109" t="s">
        <v>224</v>
      </c>
      <c r="C198" s="14" t="s">
        <v>307</v>
      </c>
      <c r="D198" s="17"/>
      <c r="E198" s="103">
        <v>3200</v>
      </c>
      <c r="F198" s="2"/>
      <c r="G198" s="2"/>
      <c r="H198" s="10"/>
    </row>
    <row r="199" spans="1:8" s="124" customFormat="1" hidden="1" x14ac:dyDescent="0.25">
      <c r="A199" s="109" t="s">
        <v>224</v>
      </c>
      <c r="B199" s="109" t="s">
        <v>224</v>
      </c>
      <c r="C199" s="20" t="s">
        <v>158</v>
      </c>
      <c r="D199" s="17"/>
      <c r="E199" s="125">
        <f>SUM(E200:E228)</f>
        <v>77357</v>
      </c>
      <c r="F199" s="2"/>
      <c r="G199" s="2"/>
      <c r="H199" s="10"/>
    </row>
    <row r="200" spans="1:8" s="124" customFormat="1" ht="30" hidden="1" x14ac:dyDescent="0.25">
      <c r="A200" s="109" t="s">
        <v>224</v>
      </c>
      <c r="B200" s="109" t="s">
        <v>224</v>
      </c>
      <c r="C200" s="19" t="s">
        <v>123</v>
      </c>
      <c r="D200" s="17"/>
      <c r="E200" s="103">
        <v>11000</v>
      </c>
      <c r="F200" s="2"/>
      <c r="G200" s="2"/>
      <c r="H200" s="10"/>
    </row>
    <row r="201" spans="1:8" s="124" customFormat="1" ht="30" hidden="1" x14ac:dyDescent="0.25">
      <c r="A201" s="109" t="s">
        <v>224</v>
      </c>
      <c r="B201" s="109" t="s">
        <v>224</v>
      </c>
      <c r="C201" s="19" t="s">
        <v>124</v>
      </c>
      <c r="D201" s="17"/>
      <c r="E201" s="103">
        <v>6300</v>
      </c>
      <c r="F201" s="2"/>
      <c r="G201" s="2"/>
      <c r="H201" s="10"/>
    </row>
    <row r="202" spans="1:8" s="124" customFormat="1" hidden="1" x14ac:dyDescent="0.25">
      <c r="A202" s="109" t="s">
        <v>224</v>
      </c>
      <c r="B202" s="109" t="s">
        <v>224</v>
      </c>
      <c r="C202" s="19" t="s">
        <v>16</v>
      </c>
      <c r="D202" s="17"/>
      <c r="E202" s="103">
        <v>2500</v>
      </c>
      <c r="F202" s="2"/>
      <c r="G202" s="2"/>
      <c r="H202" s="10"/>
    </row>
    <row r="203" spans="1:8" s="124" customFormat="1" hidden="1" x14ac:dyDescent="0.25">
      <c r="A203" s="109" t="s">
        <v>224</v>
      </c>
      <c r="B203" s="109" t="s">
        <v>224</v>
      </c>
      <c r="C203" s="19" t="s">
        <v>53</v>
      </c>
      <c r="D203" s="17"/>
      <c r="E203" s="103">
        <v>3500</v>
      </c>
      <c r="F203" s="2"/>
      <c r="G203" s="2"/>
      <c r="H203" s="10"/>
    </row>
    <row r="204" spans="1:8" s="124" customFormat="1" ht="60.75" hidden="1" customHeight="1" x14ac:dyDescent="0.25">
      <c r="A204" s="109" t="s">
        <v>224</v>
      </c>
      <c r="B204" s="109" t="s">
        <v>224</v>
      </c>
      <c r="C204" s="19" t="s">
        <v>156</v>
      </c>
      <c r="D204" s="17"/>
      <c r="E204" s="103">
        <v>300</v>
      </c>
      <c r="F204" s="2"/>
      <c r="G204" s="2"/>
      <c r="H204" s="10"/>
    </row>
    <row r="205" spans="1:8" s="124" customFormat="1" ht="60.75" hidden="1" customHeight="1" x14ac:dyDescent="0.25">
      <c r="A205" s="109" t="s">
        <v>224</v>
      </c>
      <c r="B205" s="109" t="s">
        <v>224</v>
      </c>
      <c r="C205" s="19" t="s">
        <v>155</v>
      </c>
      <c r="D205" s="17"/>
      <c r="E205" s="103">
        <v>900</v>
      </c>
      <c r="F205" s="2"/>
      <c r="G205" s="2"/>
      <c r="H205" s="10"/>
    </row>
    <row r="206" spans="1:8" s="124" customFormat="1" hidden="1" x14ac:dyDescent="0.25">
      <c r="A206" s="109" t="s">
        <v>224</v>
      </c>
      <c r="B206" s="109" t="s">
        <v>224</v>
      </c>
      <c r="C206" s="19" t="s">
        <v>17</v>
      </c>
      <c r="D206" s="17"/>
      <c r="E206" s="103">
        <v>3000</v>
      </c>
      <c r="F206" s="2"/>
      <c r="G206" s="2"/>
      <c r="H206" s="10"/>
    </row>
    <row r="207" spans="1:8" s="124" customFormat="1" ht="30" hidden="1" x14ac:dyDescent="0.25">
      <c r="A207" s="109" t="s">
        <v>224</v>
      </c>
      <c r="B207" s="109" t="s">
        <v>224</v>
      </c>
      <c r="C207" s="19" t="s">
        <v>139</v>
      </c>
      <c r="D207" s="17"/>
      <c r="E207" s="103">
        <v>1205</v>
      </c>
      <c r="F207" s="2"/>
      <c r="G207" s="2"/>
      <c r="H207" s="10"/>
    </row>
    <row r="208" spans="1:8" s="124" customFormat="1" hidden="1" x14ac:dyDescent="0.25">
      <c r="A208" s="109" t="s">
        <v>224</v>
      </c>
      <c r="B208" s="109" t="s">
        <v>224</v>
      </c>
      <c r="C208" s="19" t="s">
        <v>147</v>
      </c>
      <c r="D208" s="17"/>
      <c r="E208" s="103">
        <v>16000</v>
      </c>
      <c r="F208" s="2"/>
      <c r="G208" s="2"/>
      <c r="H208" s="10"/>
    </row>
    <row r="209" spans="1:12" s="124" customFormat="1" hidden="1" x14ac:dyDescent="0.25">
      <c r="A209" s="109" t="s">
        <v>224</v>
      </c>
      <c r="B209" s="109" t="s">
        <v>224</v>
      </c>
      <c r="C209" s="19" t="s">
        <v>204</v>
      </c>
      <c r="D209" s="17"/>
      <c r="E209" s="103">
        <v>2685</v>
      </c>
      <c r="F209" s="2"/>
      <c r="G209" s="2"/>
      <c r="H209" s="10"/>
    </row>
    <row r="210" spans="1:12" s="124" customFormat="1" hidden="1" x14ac:dyDescent="0.25">
      <c r="A210" s="109" t="s">
        <v>224</v>
      </c>
      <c r="B210" s="109" t="s">
        <v>224</v>
      </c>
      <c r="C210" s="19" t="s">
        <v>216</v>
      </c>
      <c r="D210" s="17"/>
      <c r="E210" s="103">
        <v>250</v>
      </c>
      <c r="F210" s="2"/>
      <c r="G210" s="2"/>
      <c r="H210" s="10"/>
    </row>
    <row r="211" spans="1:12" s="124" customFormat="1" ht="60.75" hidden="1" customHeight="1" x14ac:dyDescent="0.25">
      <c r="A211" s="109" t="s">
        <v>224</v>
      </c>
      <c r="B211" s="109" t="s">
        <v>224</v>
      </c>
      <c r="C211" s="19" t="s">
        <v>161</v>
      </c>
      <c r="D211" s="17"/>
      <c r="E211" s="103">
        <v>450</v>
      </c>
      <c r="F211" s="2"/>
      <c r="G211" s="2"/>
      <c r="H211" s="10"/>
    </row>
    <row r="212" spans="1:12" s="124" customFormat="1" ht="60" hidden="1" x14ac:dyDescent="0.25">
      <c r="A212" s="109" t="s">
        <v>224</v>
      </c>
      <c r="B212" s="109" t="s">
        <v>224</v>
      </c>
      <c r="C212" s="19" t="s">
        <v>160</v>
      </c>
      <c r="D212" s="17"/>
      <c r="E212" s="103">
        <v>200</v>
      </c>
      <c r="F212" s="2"/>
      <c r="G212" s="2"/>
      <c r="H212" s="10"/>
      <c r="J212" s="192"/>
      <c r="K212" s="192"/>
      <c r="L212" s="192"/>
    </row>
    <row r="213" spans="1:12" s="124" customFormat="1" ht="105" hidden="1" x14ac:dyDescent="0.25">
      <c r="A213" s="109"/>
      <c r="B213" s="109"/>
      <c r="C213" s="19" t="s">
        <v>347</v>
      </c>
      <c r="D213" s="17"/>
      <c r="E213" s="103">
        <v>300</v>
      </c>
      <c r="F213" s="2"/>
      <c r="G213" s="2"/>
      <c r="H213" s="10"/>
      <c r="J213" s="192"/>
      <c r="K213" s="192"/>
      <c r="L213" s="192"/>
    </row>
    <row r="214" spans="1:12" s="124" customFormat="1" ht="45" hidden="1" x14ac:dyDescent="0.25">
      <c r="A214" s="109" t="s">
        <v>224</v>
      </c>
      <c r="B214" s="109" t="s">
        <v>224</v>
      </c>
      <c r="C214" s="19" t="s">
        <v>125</v>
      </c>
      <c r="D214" s="17"/>
      <c r="E214" s="103">
        <v>500</v>
      </c>
      <c r="F214" s="2"/>
      <c r="G214" s="2"/>
      <c r="H214" s="10"/>
    </row>
    <row r="215" spans="1:12" s="124" customFormat="1" ht="45" hidden="1" x14ac:dyDescent="0.25">
      <c r="A215" s="109"/>
      <c r="B215" s="109"/>
      <c r="C215" s="19" t="s">
        <v>355</v>
      </c>
      <c r="D215" s="17"/>
      <c r="E215" s="103">
        <v>2000</v>
      </c>
      <c r="F215" s="2"/>
      <c r="G215" s="2"/>
      <c r="H215" s="10"/>
      <c r="K215" s="193"/>
    </row>
    <row r="216" spans="1:12" s="124" customFormat="1" ht="45" hidden="1" x14ac:dyDescent="0.25">
      <c r="A216" s="109"/>
      <c r="B216" s="109"/>
      <c r="C216" s="19" t="s">
        <v>339</v>
      </c>
      <c r="D216" s="17"/>
      <c r="E216" s="103">
        <v>900</v>
      </c>
      <c r="F216" s="2"/>
      <c r="G216" s="2"/>
      <c r="H216" s="10"/>
    </row>
    <row r="217" spans="1:12" s="124" customFormat="1" hidden="1" x14ac:dyDescent="0.25">
      <c r="A217" s="109" t="s">
        <v>224</v>
      </c>
      <c r="B217" s="109" t="s">
        <v>224</v>
      </c>
      <c r="C217" s="19" t="s">
        <v>98</v>
      </c>
      <c r="D217" s="17"/>
      <c r="E217" s="103">
        <v>3439</v>
      </c>
      <c r="F217" s="2"/>
      <c r="G217" s="2"/>
      <c r="H217" s="10"/>
    </row>
    <row r="218" spans="1:12" s="124" customFormat="1" hidden="1" x14ac:dyDescent="0.25">
      <c r="A218" s="109" t="s">
        <v>224</v>
      </c>
      <c r="B218" s="109" t="s">
        <v>224</v>
      </c>
      <c r="C218" s="19" t="s">
        <v>50</v>
      </c>
      <c r="D218" s="17"/>
      <c r="E218" s="103">
        <v>600</v>
      </c>
      <c r="F218" s="2"/>
      <c r="G218" s="2"/>
      <c r="H218" s="10"/>
    </row>
    <row r="219" spans="1:12" s="124" customFormat="1" hidden="1" x14ac:dyDescent="0.25">
      <c r="A219" s="109" t="s">
        <v>224</v>
      </c>
      <c r="B219" s="109" t="s">
        <v>224</v>
      </c>
      <c r="C219" s="19" t="s">
        <v>54</v>
      </c>
      <c r="D219" s="17"/>
      <c r="E219" s="103">
        <v>300</v>
      </c>
      <c r="F219" s="2"/>
      <c r="G219" s="2"/>
      <c r="H219" s="10"/>
    </row>
    <row r="220" spans="1:12" s="124" customFormat="1" ht="30" hidden="1" x14ac:dyDescent="0.25">
      <c r="A220" s="109" t="s">
        <v>224</v>
      </c>
      <c r="B220" s="109" t="s">
        <v>224</v>
      </c>
      <c r="C220" s="19" t="s">
        <v>148</v>
      </c>
      <c r="D220" s="17"/>
      <c r="E220" s="103">
        <v>96</v>
      </c>
      <c r="F220" s="2"/>
      <c r="G220" s="2"/>
      <c r="H220" s="10"/>
    </row>
    <row r="221" spans="1:12" s="124" customFormat="1" hidden="1" x14ac:dyDescent="0.25">
      <c r="A221" s="109" t="s">
        <v>224</v>
      </c>
      <c r="B221" s="109" t="s">
        <v>224</v>
      </c>
      <c r="C221" s="19" t="s">
        <v>182</v>
      </c>
      <c r="D221" s="17"/>
      <c r="E221" s="103">
        <v>7668</v>
      </c>
      <c r="F221" s="2"/>
      <c r="G221" s="2"/>
      <c r="H221" s="10"/>
    </row>
    <row r="222" spans="1:12" s="124" customFormat="1" ht="30" hidden="1" x14ac:dyDescent="0.25">
      <c r="A222" s="109" t="s">
        <v>224</v>
      </c>
      <c r="B222" s="109" t="s">
        <v>224</v>
      </c>
      <c r="C222" s="19" t="s">
        <v>202</v>
      </c>
      <c r="D222" s="17"/>
      <c r="E222" s="103">
        <v>250</v>
      </c>
      <c r="F222" s="2"/>
      <c r="G222" s="2"/>
      <c r="H222" s="10"/>
    </row>
    <row r="223" spans="1:12" s="124" customFormat="1" ht="30" hidden="1" x14ac:dyDescent="0.25">
      <c r="A223" s="109" t="s">
        <v>224</v>
      </c>
      <c r="B223" s="109" t="s">
        <v>224</v>
      </c>
      <c r="C223" s="19" t="s">
        <v>203</v>
      </c>
      <c r="D223" s="17"/>
      <c r="E223" s="103">
        <v>7300</v>
      </c>
      <c r="F223" s="2"/>
      <c r="G223" s="2"/>
      <c r="H223" s="10"/>
    </row>
    <row r="224" spans="1:12" s="124" customFormat="1" hidden="1" x14ac:dyDescent="0.25">
      <c r="A224" s="109" t="s">
        <v>224</v>
      </c>
      <c r="B224" s="109" t="s">
        <v>224</v>
      </c>
      <c r="C224" s="19" t="s">
        <v>15</v>
      </c>
      <c r="D224" s="17"/>
      <c r="E224" s="103">
        <v>360</v>
      </c>
      <c r="F224" s="2"/>
      <c r="G224" s="2"/>
      <c r="H224" s="10"/>
    </row>
    <row r="225" spans="1:8" s="124" customFormat="1" hidden="1" x14ac:dyDescent="0.25">
      <c r="A225" s="109" t="s">
        <v>224</v>
      </c>
      <c r="B225" s="109" t="s">
        <v>224</v>
      </c>
      <c r="C225" s="19" t="s">
        <v>51</v>
      </c>
      <c r="D225" s="17"/>
      <c r="E225" s="103">
        <v>3600</v>
      </c>
      <c r="F225" s="2"/>
      <c r="G225" s="2"/>
      <c r="H225" s="10"/>
    </row>
    <row r="226" spans="1:8" s="124" customFormat="1" ht="18.75" hidden="1" customHeight="1" x14ac:dyDescent="0.25">
      <c r="A226" s="109" t="s">
        <v>224</v>
      </c>
      <c r="B226" s="109" t="s">
        <v>224</v>
      </c>
      <c r="C226" s="19" t="s">
        <v>356</v>
      </c>
      <c r="D226" s="17"/>
      <c r="E226" s="103">
        <v>654</v>
      </c>
      <c r="F226" s="2"/>
      <c r="G226" s="2"/>
      <c r="H226" s="10"/>
    </row>
    <row r="227" spans="1:8" s="124" customFormat="1" hidden="1" x14ac:dyDescent="0.25">
      <c r="A227" s="109" t="s">
        <v>224</v>
      </c>
      <c r="B227" s="109" t="s">
        <v>224</v>
      </c>
      <c r="C227" s="19" t="s">
        <v>97</v>
      </c>
      <c r="D227" s="17"/>
      <c r="E227" s="103">
        <v>900</v>
      </c>
      <c r="F227" s="2"/>
      <c r="G227" s="2"/>
      <c r="H227" s="10"/>
    </row>
    <row r="228" spans="1:8" s="124" customFormat="1" hidden="1" x14ac:dyDescent="0.25">
      <c r="A228" s="109" t="s">
        <v>224</v>
      </c>
      <c r="B228" s="109" t="s">
        <v>224</v>
      </c>
      <c r="C228" s="19" t="s">
        <v>118</v>
      </c>
      <c r="D228" s="17"/>
      <c r="E228" s="103">
        <v>200</v>
      </c>
      <c r="F228" s="2"/>
      <c r="G228" s="2"/>
      <c r="H228" s="10"/>
    </row>
    <row r="229" spans="1:8" s="124" customFormat="1" ht="14.25" hidden="1" customHeight="1" x14ac:dyDescent="0.25">
      <c r="A229" s="109" t="s">
        <v>224</v>
      </c>
      <c r="B229" s="109" t="s">
        <v>224</v>
      </c>
      <c r="C229" s="21" t="s">
        <v>198</v>
      </c>
      <c r="D229" s="17"/>
      <c r="E229" s="103">
        <f>E187</f>
        <v>38190</v>
      </c>
      <c r="F229" s="2"/>
      <c r="G229" s="2"/>
      <c r="H229" s="10"/>
    </row>
    <row r="230" spans="1:8" s="124" customFormat="1" hidden="1" x14ac:dyDescent="0.25">
      <c r="A230" s="109" t="s">
        <v>224</v>
      </c>
      <c r="B230" s="109" t="s">
        <v>224</v>
      </c>
      <c r="C230" s="21" t="s">
        <v>200</v>
      </c>
      <c r="D230" s="17"/>
      <c r="E230" s="103">
        <f>E194</f>
        <v>7200</v>
      </c>
      <c r="F230" s="2"/>
      <c r="G230" s="2"/>
      <c r="H230" s="10"/>
    </row>
    <row r="231" spans="1:8" s="124" customFormat="1" ht="29.25" hidden="1" x14ac:dyDescent="0.25">
      <c r="A231" s="109" t="s">
        <v>224</v>
      </c>
      <c r="B231" s="109" t="s">
        <v>224</v>
      </c>
      <c r="C231" s="21" t="s">
        <v>201</v>
      </c>
      <c r="D231" s="17"/>
      <c r="E231" s="103">
        <f>E198</f>
        <v>3200</v>
      </c>
      <c r="F231" s="2"/>
      <c r="G231" s="2"/>
      <c r="H231" s="10"/>
    </row>
    <row r="232" spans="1:8" s="124" customFormat="1" ht="18" hidden="1" customHeight="1" x14ac:dyDescent="0.25">
      <c r="A232" s="109" t="s">
        <v>224</v>
      </c>
      <c r="B232" s="109" t="s">
        <v>224</v>
      </c>
      <c r="C232" s="22" t="s">
        <v>109</v>
      </c>
      <c r="D232" s="17"/>
      <c r="E232" s="125">
        <f>E231+E230*2.9+E229</f>
        <v>62270</v>
      </c>
      <c r="F232" s="2"/>
      <c r="G232" s="2"/>
      <c r="H232" s="10"/>
    </row>
    <row r="233" spans="1:8" s="124" customFormat="1" ht="15.75" hidden="1" x14ac:dyDescent="0.25">
      <c r="A233" s="109" t="s">
        <v>224</v>
      </c>
      <c r="B233" s="109" t="s">
        <v>224</v>
      </c>
      <c r="C233" s="23" t="s">
        <v>7</v>
      </c>
      <c r="D233" s="121"/>
      <c r="E233" s="103"/>
      <c r="F233" s="2"/>
      <c r="G233" s="2"/>
      <c r="H233" s="10"/>
    </row>
    <row r="234" spans="1:8" s="124" customFormat="1" ht="15.75" hidden="1" x14ac:dyDescent="0.25">
      <c r="A234" s="109" t="s">
        <v>224</v>
      </c>
      <c r="B234" s="109" t="s">
        <v>224</v>
      </c>
      <c r="C234" s="129" t="s">
        <v>91</v>
      </c>
      <c r="D234" s="121"/>
      <c r="E234" s="103"/>
      <c r="F234" s="2"/>
      <c r="G234" s="2"/>
      <c r="H234" s="10"/>
    </row>
    <row r="235" spans="1:8" s="124" customFormat="1" hidden="1" x14ac:dyDescent="0.25">
      <c r="A235" s="109" t="s">
        <v>224</v>
      </c>
      <c r="B235" s="109" t="s">
        <v>224</v>
      </c>
      <c r="C235" s="32" t="s">
        <v>95</v>
      </c>
      <c r="D235" s="115">
        <v>300</v>
      </c>
      <c r="E235" s="10">
        <v>1100</v>
      </c>
      <c r="F235" s="116">
        <v>18</v>
      </c>
      <c r="G235" s="2">
        <f>ROUND(H235/D235,0)</f>
        <v>66</v>
      </c>
      <c r="H235" s="10">
        <f>ROUND(E235*F235,0)</f>
        <v>19800</v>
      </c>
    </row>
    <row r="236" spans="1:8" s="124" customFormat="1" ht="15.75" hidden="1" x14ac:dyDescent="0.25">
      <c r="A236" s="109" t="s">
        <v>224</v>
      </c>
      <c r="B236" s="109" t="s">
        <v>224</v>
      </c>
      <c r="C236" s="139" t="s">
        <v>9</v>
      </c>
      <c r="D236" s="121"/>
      <c r="E236" s="164">
        <v>1100</v>
      </c>
      <c r="F236" s="135">
        <f>H236/E236</f>
        <v>18</v>
      </c>
      <c r="G236" s="141">
        <f>G235</f>
        <v>66</v>
      </c>
      <c r="H236" s="141">
        <f>H235</f>
        <v>19800</v>
      </c>
    </row>
    <row r="237" spans="1:8" s="124" customFormat="1" ht="15.75" hidden="1" x14ac:dyDescent="0.25">
      <c r="A237" s="109" t="s">
        <v>224</v>
      </c>
      <c r="B237" s="109" t="s">
        <v>224</v>
      </c>
      <c r="C237" s="129" t="s">
        <v>18</v>
      </c>
      <c r="D237" s="115"/>
      <c r="E237" s="103"/>
      <c r="F237" s="116"/>
      <c r="G237" s="2"/>
      <c r="H237" s="10"/>
    </row>
    <row r="238" spans="1:8" s="124" customFormat="1" hidden="1" x14ac:dyDescent="0.25">
      <c r="A238" s="109" t="s">
        <v>224</v>
      </c>
      <c r="B238" s="109" t="s">
        <v>224</v>
      </c>
      <c r="C238" s="25" t="s">
        <v>21</v>
      </c>
      <c r="D238" s="115">
        <v>240</v>
      </c>
      <c r="E238" s="10">
        <v>690</v>
      </c>
      <c r="F238" s="116">
        <v>4</v>
      </c>
      <c r="G238" s="2">
        <f>ROUND(H238/D238,0)</f>
        <v>12</v>
      </c>
      <c r="H238" s="10">
        <f>ROUND(E238*F238,0)</f>
        <v>2760</v>
      </c>
    </row>
    <row r="239" spans="1:8" s="124" customFormat="1" hidden="1" x14ac:dyDescent="0.25">
      <c r="A239" s="109" t="s">
        <v>224</v>
      </c>
      <c r="B239" s="109" t="s">
        <v>224</v>
      </c>
      <c r="C239" s="25" t="s">
        <v>22</v>
      </c>
      <c r="D239" s="115">
        <v>240</v>
      </c>
      <c r="E239" s="10">
        <v>300</v>
      </c>
      <c r="F239" s="116">
        <v>7</v>
      </c>
      <c r="G239" s="2">
        <f>ROUND(H239/D239,0)</f>
        <v>9</v>
      </c>
      <c r="H239" s="10">
        <f>ROUND(E239*F239,0)</f>
        <v>2100</v>
      </c>
    </row>
    <row r="240" spans="1:8" s="124" customFormat="1" ht="15.75" hidden="1" x14ac:dyDescent="0.25">
      <c r="A240" s="109" t="s">
        <v>224</v>
      </c>
      <c r="B240" s="109" t="s">
        <v>224</v>
      </c>
      <c r="C240" s="139" t="s">
        <v>92</v>
      </c>
      <c r="D240" s="194"/>
      <c r="E240" s="11">
        <f>SUM(E238:E239)</f>
        <v>990</v>
      </c>
      <c r="F240" s="135">
        <f>H240/E240</f>
        <v>4.9090909090909092</v>
      </c>
      <c r="G240" s="141">
        <f>SUM(G238:G239)</f>
        <v>21</v>
      </c>
      <c r="H240" s="141">
        <f>SUM(H238:H239)</f>
        <v>4860</v>
      </c>
    </row>
    <row r="241" spans="1:8" s="124" customFormat="1" ht="18.75" hidden="1" customHeight="1" x14ac:dyDescent="0.25">
      <c r="A241" s="109" t="s">
        <v>224</v>
      </c>
      <c r="B241" s="109" t="s">
        <v>224</v>
      </c>
      <c r="C241" s="26" t="s">
        <v>86</v>
      </c>
      <c r="D241" s="142"/>
      <c r="E241" s="141">
        <f>E240+E236</f>
        <v>2090</v>
      </c>
      <c r="F241" s="195">
        <f>H241/E241</f>
        <v>11.799043062200957</v>
      </c>
      <c r="G241" s="34">
        <f>G240+G236</f>
        <v>87</v>
      </c>
      <c r="H241" s="34">
        <f>H240+H236</f>
        <v>24660</v>
      </c>
    </row>
    <row r="242" spans="1:8" s="124" customFormat="1" ht="15.75" hidden="1" x14ac:dyDescent="0.25">
      <c r="A242" s="109" t="s">
        <v>224</v>
      </c>
      <c r="B242" s="109" t="s">
        <v>224</v>
      </c>
      <c r="C242" s="26"/>
      <c r="D242" s="142"/>
      <c r="E242" s="141"/>
      <c r="F242" s="196"/>
      <c r="G242" s="141"/>
      <c r="H242" s="141"/>
    </row>
    <row r="243" spans="1:8" s="124" customFormat="1" ht="30" hidden="1" x14ac:dyDescent="0.25">
      <c r="A243" s="109" t="s">
        <v>224</v>
      </c>
      <c r="B243" s="109" t="s">
        <v>224</v>
      </c>
      <c r="C243" s="197" t="s">
        <v>334</v>
      </c>
      <c r="D243" s="142"/>
      <c r="E243" s="10"/>
      <c r="F243" s="196"/>
      <c r="G243" s="141"/>
      <c r="H243" s="141"/>
    </row>
    <row r="244" spans="1:8" s="124" customFormat="1" ht="30.75" hidden="1" customHeight="1" x14ac:dyDescent="0.25">
      <c r="A244" s="109" t="s">
        <v>224</v>
      </c>
      <c r="B244" s="109" t="s">
        <v>224</v>
      </c>
      <c r="C244" s="102" t="s">
        <v>320</v>
      </c>
      <c r="D244" s="145"/>
      <c r="E244" s="125">
        <f>SUM(E243)</f>
        <v>0</v>
      </c>
      <c r="F244" s="196"/>
      <c r="G244" s="141"/>
      <c r="H244" s="141"/>
    </row>
    <row r="245" spans="1:8" s="124" customFormat="1" ht="31.5" hidden="1" x14ac:dyDescent="0.25">
      <c r="A245" s="109" t="s">
        <v>224</v>
      </c>
      <c r="B245" s="109" t="s">
        <v>224</v>
      </c>
      <c r="C245" s="27" t="s">
        <v>183</v>
      </c>
      <c r="D245" s="198"/>
      <c r="E245" s="128">
        <v>5</v>
      </c>
      <c r="F245" s="143"/>
      <c r="G245" s="11"/>
      <c r="H245" s="11"/>
    </row>
    <row r="246" spans="1:8" s="124" customFormat="1" ht="15.75" hidden="1" x14ac:dyDescent="0.25">
      <c r="A246" s="109" t="s">
        <v>224</v>
      </c>
      <c r="B246" s="109" t="s">
        <v>224</v>
      </c>
      <c r="C246" s="27" t="s">
        <v>178</v>
      </c>
      <c r="D246" s="142"/>
      <c r="E246" s="128">
        <v>5</v>
      </c>
      <c r="F246" s="143"/>
      <c r="G246" s="11"/>
      <c r="H246" s="11"/>
    </row>
    <row r="247" spans="1:8" s="124" customFormat="1" ht="15.75" hidden="1" x14ac:dyDescent="0.25">
      <c r="A247" s="109" t="s">
        <v>224</v>
      </c>
      <c r="B247" s="109" t="s">
        <v>224</v>
      </c>
      <c r="C247" s="27" t="s">
        <v>184</v>
      </c>
      <c r="D247" s="142"/>
      <c r="E247" s="128">
        <v>10</v>
      </c>
      <c r="F247" s="143"/>
      <c r="G247" s="11"/>
      <c r="H247" s="11"/>
    </row>
    <row r="248" spans="1:8" s="124" customFormat="1" ht="15.75" hidden="1" x14ac:dyDescent="0.25">
      <c r="A248" s="109" t="s">
        <v>224</v>
      </c>
      <c r="B248" s="109" t="s">
        <v>224</v>
      </c>
      <c r="C248" s="27" t="s">
        <v>180</v>
      </c>
      <c r="D248" s="142"/>
      <c r="E248" s="128">
        <v>28</v>
      </c>
      <c r="F248" s="143"/>
      <c r="G248" s="11"/>
      <c r="H248" s="11"/>
    </row>
    <row r="249" spans="1:8" s="124" customFormat="1" ht="15.75" hidden="1" x14ac:dyDescent="0.25">
      <c r="A249" s="109" t="s">
        <v>224</v>
      </c>
      <c r="B249" s="109" t="s">
        <v>224</v>
      </c>
      <c r="C249" s="27" t="s">
        <v>185</v>
      </c>
      <c r="D249" s="142"/>
      <c r="E249" s="128">
        <v>5</v>
      </c>
      <c r="F249" s="143"/>
      <c r="G249" s="11"/>
      <c r="H249" s="11"/>
    </row>
    <row r="250" spans="1:8" s="124" customFormat="1" ht="31.5" hidden="1" x14ac:dyDescent="0.25">
      <c r="A250" s="109" t="s">
        <v>224</v>
      </c>
      <c r="B250" s="109" t="s">
        <v>224</v>
      </c>
      <c r="C250" s="27" t="s">
        <v>179</v>
      </c>
      <c r="D250" s="142"/>
      <c r="E250" s="128">
        <v>5</v>
      </c>
      <c r="F250" s="143"/>
      <c r="G250" s="11"/>
      <c r="H250" s="11"/>
    </row>
    <row r="251" spans="1:8" s="124" customFormat="1" ht="15.75" hidden="1" x14ac:dyDescent="0.25">
      <c r="A251" s="109" t="s">
        <v>224</v>
      </c>
      <c r="B251" s="109" t="s">
        <v>224</v>
      </c>
      <c r="C251" s="27" t="s">
        <v>94</v>
      </c>
      <c r="D251" s="142"/>
      <c r="E251" s="128">
        <v>15</v>
      </c>
      <c r="F251" s="143"/>
      <c r="G251" s="11"/>
      <c r="H251" s="11"/>
    </row>
    <row r="252" spans="1:8" s="124" customFormat="1" ht="15.75" hidden="1" thickBot="1" x14ac:dyDescent="0.3">
      <c r="A252" s="109" t="s">
        <v>224</v>
      </c>
      <c r="B252" s="109" t="s">
        <v>224</v>
      </c>
      <c r="C252" s="148" t="s">
        <v>159</v>
      </c>
      <c r="D252" s="199"/>
      <c r="E252" s="173">
        <f>SUM(E245:E251)</f>
        <v>73</v>
      </c>
      <c r="F252" s="200"/>
      <c r="G252" s="153"/>
      <c r="H252" s="181"/>
    </row>
    <row r="253" spans="1:8" s="159" customFormat="1" ht="16.5" hidden="1" customHeight="1" thickBot="1" x14ac:dyDescent="0.3">
      <c r="A253" s="109" t="s">
        <v>224</v>
      </c>
      <c r="B253" s="109" t="s">
        <v>224</v>
      </c>
      <c r="C253" s="154" t="s">
        <v>220</v>
      </c>
      <c r="D253" s="155"/>
      <c r="E253" s="201"/>
      <c r="F253" s="158"/>
      <c r="G253" s="157"/>
      <c r="H253" s="202"/>
    </row>
    <row r="254" spans="1:8" ht="16.5" hidden="1" customHeight="1" thickBot="1" x14ac:dyDescent="0.3">
      <c r="A254" s="104">
        <v>1</v>
      </c>
      <c r="C254" s="189"/>
      <c r="D254" s="161"/>
      <c r="E254" s="103"/>
      <c r="F254" s="10"/>
      <c r="G254" s="10"/>
      <c r="H254" s="10"/>
    </row>
    <row r="255" spans="1:8" ht="43.5" hidden="1" x14ac:dyDescent="0.25">
      <c r="A255" s="104">
        <v>1</v>
      </c>
      <c r="B255" s="109" t="s">
        <v>225</v>
      </c>
      <c r="C255" s="679" t="s">
        <v>373</v>
      </c>
      <c r="D255" s="115"/>
      <c r="E255" s="103"/>
      <c r="F255" s="10"/>
      <c r="G255" s="10"/>
      <c r="H255" s="10"/>
    </row>
    <row r="256" spans="1:8" ht="16.5" hidden="1" customHeight="1" x14ac:dyDescent="0.25">
      <c r="A256" s="104">
        <v>1</v>
      </c>
      <c r="B256" s="109" t="s">
        <v>225</v>
      </c>
      <c r="C256" s="112" t="s">
        <v>4</v>
      </c>
      <c r="D256" s="115"/>
      <c r="E256" s="103"/>
      <c r="F256" s="10"/>
      <c r="G256" s="10"/>
      <c r="H256" s="10"/>
    </row>
    <row r="257" spans="1:10" ht="16.5" hidden="1" customHeight="1" x14ac:dyDescent="0.25">
      <c r="A257" s="104">
        <v>1</v>
      </c>
      <c r="B257" s="109" t="s">
        <v>225</v>
      </c>
      <c r="C257" s="117" t="s">
        <v>66</v>
      </c>
      <c r="D257" s="115">
        <v>320</v>
      </c>
      <c r="E257" s="10">
        <v>72</v>
      </c>
      <c r="F257" s="116">
        <v>9</v>
      </c>
      <c r="G257" s="2">
        <f t="shared" ref="G257:G270" si="8">ROUND(H257/D257,0)</f>
        <v>2</v>
      </c>
      <c r="H257" s="10">
        <f t="shared" ref="H257:H269" si="9">ROUND(E257*F257,0)</f>
        <v>648</v>
      </c>
    </row>
    <row r="258" spans="1:10" ht="18" hidden="1" customHeight="1" x14ac:dyDescent="0.25">
      <c r="A258" s="104">
        <v>1</v>
      </c>
      <c r="B258" s="109" t="s">
        <v>225</v>
      </c>
      <c r="C258" s="117" t="s">
        <v>32</v>
      </c>
      <c r="D258" s="115">
        <v>320</v>
      </c>
      <c r="E258" s="10">
        <v>204</v>
      </c>
      <c r="F258" s="116">
        <v>9</v>
      </c>
      <c r="G258" s="2">
        <f t="shared" si="8"/>
        <v>6</v>
      </c>
      <c r="H258" s="10">
        <f t="shared" si="9"/>
        <v>1836</v>
      </c>
    </row>
    <row r="259" spans="1:10" ht="18" hidden="1" customHeight="1" x14ac:dyDescent="0.25">
      <c r="A259" s="104">
        <v>1</v>
      </c>
      <c r="B259" s="109" t="s">
        <v>225</v>
      </c>
      <c r="C259" s="117" t="s">
        <v>65</v>
      </c>
      <c r="D259" s="115">
        <v>320</v>
      </c>
      <c r="E259" s="10">
        <v>128</v>
      </c>
      <c r="F259" s="116">
        <v>14.5</v>
      </c>
      <c r="G259" s="2">
        <f t="shared" si="8"/>
        <v>6</v>
      </c>
      <c r="H259" s="10">
        <f t="shared" si="9"/>
        <v>1856</v>
      </c>
    </row>
    <row r="260" spans="1:10" ht="15.75" hidden="1" customHeight="1" x14ac:dyDescent="0.25">
      <c r="A260" s="104">
        <v>1</v>
      </c>
      <c r="B260" s="109" t="s">
        <v>225</v>
      </c>
      <c r="C260" s="117" t="s">
        <v>25</v>
      </c>
      <c r="D260" s="115">
        <v>310</v>
      </c>
      <c r="E260" s="10">
        <v>3723</v>
      </c>
      <c r="F260" s="116">
        <v>5.5</v>
      </c>
      <c r="G260" s="2">
        <f t="shared" si="8"/>
        <v>66</v>
      </c>
      <c r="H260" s="10">
        <f t="shared" si="9"/>
        <v>20477</v>
      </c>
    </row>
    <row r="261" spans="1:10" ht="15.75" hidden="1" customHeight="1" x14ac:dyDescent="0.25">
      <c r="A261" s="104">
        <v>1</v>
      </c>
      <c r="B261" s="109" t="s">
        <v>225</v>
      </c>
      <c r="C261" s="117" t="s">
        <v>61</v>
      </c>
      <c r="D261" s="115">
        <v>320</v>
      </c>
      <c r="E261" s="10">
        <v>409</v>
      </c>
      <c r="F261" s="116">
        <v>12</v>
      </c>
      <c r="G261" s="2">
        <f t="shared" si="8"/>
        <v>15</v>
      </c>
      <c r="H261" s="10">
        <f t="shared" si="9"/>
        <v>4908</v>
      </c>
    </row>
    <row r="262" spans="1:10" ht="18.75" hidden="1" customHeight="1" x14ac:dyDescent="0.25">
      <c r="A262" s="104">
        <v>1</v>
      </c>
      <c r="B262" s="109" t="s">
        <v>225</v>
      </c>
      <c r="C262" s="117" t="s">
        <v>67</v>
      </c>
      <c r="D262" s="115">
        <v>320</v>
      </c>
      <c r="E262" s="10">
        <v>245</v>
      </c>
      <c r="F262" s="116">
        <v>22</v>
      </c>
      <c r="G262" s="2">
        <f t="shared" si="8"/>
        <v>17</v>
      </c>
      <c r="H262" s="10">
        <f t="shared" si="9"/>
        <v>5390</v>
      </c>
    </row>
    <row r="263" spans="1:10" ht="18" hidden="1" customHeight="1" x14ac:dyDescent="0.25">
      <c r="A263" s="104">
        <v>1</v>
      </c>
      <c r="B263" s="109" t="s">
        <v>225</v>
      </c>
      <c r="C263" s="117" t="s">
        <v>60</v>
      </c>
      <c r="D263" s="115">
        <v>320</v>
      </c>
      <c r="E263" s="10">
        <v>419</v>
      </c>
      <c r="F263" s="116">
        <v>13</v>
      </c>
      <c r="G263" s="2">
        <f t="shared" si="8"/>
        <v>17</v>
      </c>
      <c r="H263" s="10">
        <f t="shared" si="9"/>
        <v>5447</v>
      </c>
    </row>
    <row r="264" spans="1:10" ht="15.75" hidden="1" customHeight="1" x14ac:dyDescent="0.25">
      <c r="A264" s="104">
        <v>1</v>
      </c>
      <c r="B264" s="109" t="s">
        <v>225</v>
      </c>
      <c r="C264" s="117" t="s">
        <v>110</v>
      </c>
      <c r="D264" s="115">
        <v>320</v>
      </c>
      <c r="E264" s="10">
        <v>870</v>
      </c>
      <c r="F264" s="116">
        <v>13.5</v>
      </c>
      <c r="G264" s="2">
        <f t="shared" si="8"/>
        <v>37</v>
      </c>
      <c r="H264" s="10">
        <f t="shared" si="9"/>
        <v>11745</v>
      </c>
    </row>
    <row r="265" spans="1:10" ht="18" hidden="1" customHeight="1" x14ac:dyDescent="0.25">
      <c r="A265" s="104">
        <v>1</v>
      </c>
      <c r="B265" s="109" t="s">
        <v>225</v>
      </c>
      <c r="C265" s="117" t="s">
        <v>42</v>
      </c>
      <c r="D265" s="115">
        <v>320</v>
      </c>
      <c r="E265" s="10">
        <v>165</v>
      </c>
      <c r="F265" s="116">
        <v>15.5</v>
      </c>
      <c r="G265" s="2">
        <f t="shared" si="8"/>
        <v>8</v>
      </c>
      <c r="H265" s="10">
        <f t="shared" si="9"/>
        <v>2558</v>
      </c>
    </row>
    <row r="266" spans="1:10" ht="15.75" hidden="1" customHeight="1" x14ac:dyDescent="0.25">
      <c r="A266" s="104">
        <v>1</v>
      </c>
      <c r="B266" s="109" t="s">
        <v>225</v>
      </c>
      <c r="C266" s="117" t="s">
        <v>58</v>
      </c>
      <c r="D266" s="115">
        <v>320</v>
      </c>
      <c r="E266" s="10">
        <v>162</v>
      </c>
      <c r="F266" s="116">
        <v>9</v>
      </c>
      <c r="G266" s="2">
        <f t="shared" si="8"/>
        <v>5</v>
      </c>
      <c r="H266" s="10">
        <f t="shared" si="9"/>
        <v>1458</v>
      </c>
    </row>
    <row r="267" spans="1:10" ht="15.75" hidden="1" customHeight="1" x14ac:dyDescent="0.25">
      <c r="A267" s="104">
        <v>1</v>
      </c>
      <c r="B267" s="109" t="s">
        <v>225</v>
      </c>
      <c r="C267" s="117" t="s">
        <v>56</v>
      </c>
      <c r="D267" s="115">
        <v>320</v>
      </c>
      <c r="E267" s="10">
        <v>717</v>
      </c>
      <c r="F267" s="116">
        <v>10.5</v>
      </c>
      <c r="G267" s="2">
        <f t="shared" si="8"/>
        <v>24</v>
      </c>
      <c r="H267" s="10">
        <f t="shared" si="9"/>
        <v>7529</v>
      </c>
    </row>
    <row r="268" spans="1:10" ht="18" hidden="1" customHeight="1" x14ac:dyDescent="0.25">
      <c r="A268" s="104">
        <v>1</v>
      </c>
      <c r="B268" s="109" t="s">
        <v>225</v>
      </c>
      <c r="C268" s="117" t="s">
        <v>11</v>
      </c>
      <c r="D268" s="115">
        <v>320</v>
      </c>
      <c r="E268" s="10">
        <v>912</v>
      </c>
      <c r="F268" s="116">
        <v>7</v>
      </c>
      <c r="G268" s="2">
        <f t="shared" si="8"/>
        <v>20</v>
      </c>
      <c r="H268" s="10">
        <f>ROUND(E268*F268,0)</f>
        <v>6384</v>
      </c>
    </row>
    <row r="269" spans="1:10" ht="18" hidden="1" customHeight="1" x14ac:dyDescent="0.25">
      <c r="A269" s="104">
        <v>1</v>
      </c>
      <c r="B269" s="109" t="s">
        <v>225</v>
      </c>
      <c r="C269" s="117" t="s">
        <v>10</v>
      </c>
      <c r="D269" s="115">
        <v>320</v>
      </c>
      <c r="E269" s="10">
        <v>1634</v>
      </c>
      <c r="F269" s="163">
        <v>7</v>
      </c>
      <c r="G269" s="2">
        <f t="shared" si="8"/>
        <v>36</v>
      </c>
      <c r="H269" s="10">
        <f t="shared" si="9"/>
        <v>11438</v>
      </c>
    </row>
    <row r="270" spans="1:10" ht="15.75" hidden="1" customHeight="1" x14ac:dyDescent="0.25">
      <c r="A270" s="104">
        <v>1</v>
      </c>
      <c r="B270" s="109" t="s">
        <v>225</v>
      </c>
      <c r="C270" s="117" t="s">
        <v>33</v>
      </c>
      <c r="D270" s="115">
        <v>320</v>
      </c>
      <c r="E270" s="10">
        <v>420</v>
      </c>
      <c r="F270" s="163">
        <v>14.5</v>
      </c>
      <c r="G270" s="2">
        <f t="shared" si="8"/>
        <v>19</v>
      </c>
      <c r="H270" s="10">
        <f>ROUND(E270*F270,0)</f>
        <v>6090</v>
      </c>
    </row>
    <row r="271" spans="1:10" s="124" customFormat="1" ht="18" hidden="1" customHeight="1" x14ac:dyDescent="0.25">
      <c r="A271" s="104">
        <v>1</v>
      </c>
      <c r="B271" s="109" t="s">
        <v>225</v>
      </c>
      <c r="C271" s="120" t="s">
        <v>5</v>
      </c>
      <c r="D271" s="115"/>
      <c r="E271" s="11">
        <f>SUM(E257:E270)</f>
        <v>10080</v>
      </c>
      <c r="F271" s="203">
        <f>H271/E271</f>
        <v>8.7067460317460323</v>
      </c>
      <c r="G271" s="11">
        <f>SUM(G257:G270)</f>
        <v>278</v>
      </c>
      <c r="H271" s="11">
        <f>SUM(H257:H270)</f>
        <v>87764</v>
      </c>
      <c r="I271" s="167">
        <f>E271-E272</f>
        <v>9960</v>
      </c>
      <c r="J271" s="123"/>
    </row>
    <row r="272" spans="1:10" s="124" customFormat="1" ht="18" hidden="1" customHeight="1" x14ac:dyDescent="0.25">
      <c r="A272" s="104"/>
      <c r="B272" s="109" t="s">
        <v>225</v>
      </c>
      <c r="C272" s="120" t="s">
        <v>213</v>
      </c>
      <c r="D272" s="115">
        <f>E271-E272</f>
        <v>9960</v>
      </c>
      <c r="E272" s="11">
        <v>120</v>
      </c>
      <c r="F272" s="203"/>
      <c r="G272" s="11"/>
      <c r="H272" s="11"/>
      <c r="I272" s="168"/>
    </row>
    <row r="273" spans="1:8" s="124" customFormat="1" ht="17.25" hidden="1" customHeight="1" x14ac:dyDescent="0.25">
      <c r="A273" s="104">
        <v>1</v>
      </c>
      <c r="B273" s="109" t="s">
        <v>225</v>
      </c>
      <c r="C273" s="12" t="s">
        <v>108</v>
      </c>
      <c r="D273" s="13"/>
      <c r="E273" s="103"/>
      <c r="F273" s="2"/>
      <c r="G273" s="2"/>
      <c r="H273" s="10"/>
    </row>
    <row r="274" spans="1:8" s="124" customFormat="1" hidden="1" x14ac:dyDescent="0.25">
      <c r="A274" s="104">
        <v>1</v>
      </c>
      <c r="B274" s="109" t="s">
        <v>225</v>
      </c>
      <c r="C274" s="12" t="s">
        <v>96</v>
      </c>
      <c r="D274" s="13"/>
      <c r="E274" s="103"/>
      <c r="F274" s="2"/>
      <c r="G274" s="2"/>
      <c r="H274" s="10"/>
    </row>
    <row r="275" spans="1:8" s="124" customFormat="1" ht="43.5" hidden="1" x14ac:dyDescent="0.25">
      <c r="A275" s="104"/>
      <c r="B275" s="109" t="s">
        <v>225</v>
      </c>
      <c r="C275" s="14" t="s">
        <v>308</v>
      </c>
      <c r="D275" s="13"/>
      <c r="E275" s="125">
        <f>E276+E277+E280+E281</f>
        <v>61400</v>
      </c>
      <c r="F275" s="2"/>
      <c r="G275" s="2"/>
      <c r="H275" s="10"/>
    </row>
    <row r="276" spans="1:8" s="124" customFormat="1" hidden="1" x14ac:dyDescent="0.25">
      <c r="A276" s="104"/>
      <c r="B276" s="109" t="s">
        <v>225</v>
      </c>
      <c r="C276" s="15" t="s">
        <v>297</v>
      </c>
      <c r="D276" s="13"/>
      <c r="E276" s="103">
        <v>2000</v>
      </c>
      <c r="F276" s="2"/>
      <c r="G276" s="2"/>
      <c r="H276" s="10"/>
    </row>
    <row r="277" spans="1:8" s="124" customFormat="1" ht="30" hidden="1" x14ac:dyDescent="0.25">
      <c r="A277" s="104"/>
      <c r="B277" s="109" t="s">
        <v>225</v>
      </c>
      <c r="C277" s="16" t="s">
        <v>298</v>
      </c>
      <c r="D277" s="13"/>
      <c r="E277" s="103">
        <f>E278+E279</f>
        <v>55900</v>
      </c>
      <c r="F277" s="2"/>
      <c r="G277" s="2"/>
      <c r="H277" s="10"/>
    </row>
    <row r="278" spans="1:8" s="124" customFormat="1" hidden="1" x14ac:dyDescent="0.25">
      <c r="A278" s="104"/>
      <c r="B278" s="109" t="s">
        <v>225</v>
      </c>
      <c r="C278" s="15" t="s">
        <v>299</v>
      </c>
      <c r="D278" s="13"/>
      <c r="E278" s="103">
        <v>43900</v>
      </c>
      <c r="F278" s="10"/>
      <c r="G278" s="10"/>
      <c r="H278" s="10"/>
    </row>
    <row r="279" spans="1:8" s="124" customFormat="1" ht="45" hidden="1" x14ac:dyDescent="0.25">
      <c r="A279" s="104"/>
      <c r="B279" s="109" t="s">
        <v>225</v>
      </c>
      <c r="C279" s="15" t="s">
        <v>301</v>
      </c>
      <c r="D279" s="13"/>
      <c r="E279" s="103">
        <v>12000</v>
      </c>
      <c r="F279" s="2"/>
      <c r="G279" s="2"/>
      <c r="H279" s="10"/>
    </row>
    <row r="280" spans="1:8" s="124" customFormat="1" ht="60" hidden="1" x14ac:dyDescent="0.25">
      <c r="A280" s="104"/>
      <c r="B280" s="109" t="s">
        <v>225</v>
      </c>
      <c r="C280" s="15" t="s">
        <v>309</v>
      </c>
      <c r="D280" s="13"/>
      <c r="E280" s="103"/>
      <c r="F280" s="2"/>
      <c r="G280" s="2"/>
      <c r="H280" s="10"/>
    </row>
    <row r="281" spans="1:8" s="124" customFormat="1" ht="45" hidden="1" x14ac:dyDescent="0.25">
      <c r="A281" s="104"/>
      <c r="B281" s="109" t="s">
        <v>225</v>
      </c>
      <c r="C281" s="18" t="s">
        <v>310</v>
      </c>
      <c r="D281" s="13"/>
      <c r="E281" s="103">
        <v>3500</v>
      </c>
      <c r="F281" s="2"/>
      <c r="G281" s="2"/>
      <c r="H281" s="10"/>
    </row>
    <row r="282" spans="1:8" s="124" customFormat="1" ht="31.5" hidden="1" customHeight="1" x14ac:dyDescent="0.25">
      <c r="A282" s="104"/>
      <c r="B282" s="109" t="s">
        <v>225</v>
      </c>
      <c r="C282" s="14" t="s">
        <v>313</v>
      </c>
      <c r="D282" s="13"/>
      <c r="E282" s="125">
        <f>E283</f>
        <v>4600</v>
      </c>
      <c r="F282" s="2"/>
      <c r="G282" s="2"/>
      <c r="H282" s="10"/>
    </row>
    <row r="283" spans="1:8" s="124" customFormat="1" ht="31.5" hidden="1" customHeight="1" x14ac:dyDescent="0.25">
      <c r="A283" s="104"/>
      <c r="B283" s="109"/>
      <c r="C283" s="14" t="s">
        <v>304</v>
      </c>
      <c r="D283" s="13"/>
      <c r="E283" s="125">
        <v>4600</v>
      </c>
      <c r="F283" s="2"/>
      <c r="G283" s="2"/>
      <c r="H283" s="10"/>
    </row>
    <row r="284" spans="1:8" s="124" customFormat="1" ht="29.25" hidden="1" x14ac:dyDescent="0.25">
      <c r="A284" s="104">
        <v>1</v>
      </c>
      <c r="B284" s="109" t="s">
        <v>225</v>
      </c>
      <c r="C284" s="14" t="s">
        <v>306</v>
      </c>
      <c r="D284" s="13"/>
      <c r="E284" s="103">
        <f>E285</f>
        <v>24000</v>
      </c>
      <c r="F284" s="2"/>
      <c r="G284" s="2"/>
      <c r="H284" s="10"/>
    </row>
    <row r="285" spans="1:8" s="124" customFormat="1" ht="30" hidden="1" x14ac:dyDescent="0.25">
      <c r="A285" s="104">
        <v>1</v>
      </c>
      <c r="B285" s="109" t="s">
        <v>225</v>
      </c>
      <c r="C285" s="19" t="s">
        <v>115</v>
      </c>
      <c r="D285" s="13"/>
      <c r="E285" s="103">
        <v>24000</v>
      </c>
      <c r="F285" s="2"/>
      <c r="G285" s="2"/>
      <c r="H285" s="10"/>
    </row>
    <row r="286" spans="1:8" s="124" customFormat="1" ht="57.75" hidden="1" x14ac:dyDescent="0.25">
      <c r="A286" s="104">
        <v>1</v>
      </c>
      <c r="B286" s="109" t="s">
        <v>225</v>
      </c>
      <c r="C286" s="14" t="s">
        <v>307</v>
      </c>
      <c r="D286" s="13"/>
      <c r="E286" s="103">
        <v>11000</v>
      </c>
      <c r="F286" s="2"/>
      <c r="G286" s="2"/>
      <c r="H286" s="10"/>
    </row>
    <row r="287" spans="1:8" s="124" customFormat="1" ht="15.75" hidden="1" x14ac:dyDescent="0.25">
      <c r="A287" s="104">
        <v>1</v>
      </c>
      <c r="B287" s="109" t="s">
        <v>225</v>
      </c>
      <c r="C287" s="204" t="s">
        <v>158</v>
      </c>
      <c r="D287" s="13"/>
      <c r="E287" s="125">
        <f>SUM(E288:E305)</f>
        <v>21075</v>
      </c>
      <c r="F287" s="2"/>
      <c r="G287" s="2"/>
      <c r="H287" s="10"/>
    </row>
    <row r="288" spans="1:8" s="124" customFormat="1" hidden="1" x14ac:dyDescent="0.25">
      <c r="A288" s="104">
        <v>1</v>
      </c>
      <c r="B288" s="109" t="s">
        <v>225</v>
      </c>
      <c r="C288" s="126" t="s">
        <v>17</v>
      </c>
      <c r="D288" s="13"/>
      <c r="E288" s="103">
        <v>1000</v>
      </c>
      <c r="F288" s="2"/>
      <c r="G288" s="2"/>
      <c r="H288" s="10"/>
    </row>
    <row r="289" spans="1:8" s="124" customFormat="1" ht="30" hidden="1" x14ac:dyDescent="0.25">
      <c r="A289" s="104">
        <v>1</v>
      </c>
      <c r="B289" s="109" t="s">
        <v>225</v>
      </c>
      <c r="C289" s="127" t="s">
        <v>139</v>
      </c>
      <c r="D289" s="13"/>
      <c r="E289" s="103">
        <v>155</v>
      </c>
      <c r="F289" s="2"/>
      <c r="G289" s="2"/>
      <c r="H289" s="10"/>
    </row>
    <row r="290" spans="1:8" s="124" customFormat="1" hidden="1" x14ac:dyDescent="0.25">
      <c r="A290" s="104">
        <v>1</v>
      </c>
      <c r="B290" s="109" t="s">
        <v>225</v>
      </c>
      <c r="C290" s="205" t="s">
        <v>147</v>
      </c>
      <c r="D290" s="13"/>
      <c r="E290" s="103">
        <v>4000</v>
      </c>
      <c r="F290" s="2"/>
      <c r="G290" s="2"/>
      <c r="H290" s="10"/>
    </row>
    <row r="291" spans="1:8" s="124" customFormat="1" ht="60" hidden="1" x14ac:dyDescent="0.25">
      <c r="A291" s="104"/>
      <c r="B291" s="109"/>
      <c r="C291" s="126" t="s">
        <v>349</v>
      </c>
      <c r="D291" s="13"/>
      <c r="E291" s="103">
        <v>10</v>
      </c>
      <c r="F291" s="2"/>
      <c r="G291" s="2"/>
      <c r="H291" s="10"/>
    </row>
    <row r="292" spans="1:8" s="124" customFormat="1" ht="45" hidden="1" x14ac:dyDescent="0.25">
      <c r="A292" s="104"/>
      <c r="B292" s="109"/>
      <c r="C292" s="126" t="s">
        <v>350</v>
      </c>
      <c r="D292" s="13"/>
      <c r="E292" s="103">
        <v>10</v>
      </c>
      <c r="F292" s="2"/>
      <c r="G292" s="2"/>
      <c r="H292" s="10"/>
    </row>
    <row r="293" spans="1:8" s="124" customFormat="1" ht="75" hidden="1" x14ac:dyDescent="0.25">
      <c r="A293" s="104"/>
      <c r="B293" s="109"/>
      <c r="C293" s="206" t="s">
        <v>321</v>
      </c>
      <c r="D293" s="13"/>
      <c r="E293" s="103">
        <v>300</v>
      </c>
      <c r="F293" s="2"/>
      <c r="G293" s="2"/>
      <c r="H293" s="10"/>
    </row>
    <row r="294" spans="1:8" s="124" customFormat="1" hidden="1" x14ac:dyDescent="0.25">
      <c r="A294" s="104">
        <v>1</v>
      </c>
      <c r="B294" s="109" t="s">
        <v>225</v>
      </c>
      <c r="C294" s="207" t="s">
        <v>50</v>
      </c>
      <c r="D294" s="13"/>
      <c r="E294" s="103">
        <v>2000</v>
      </c>
      <c r="F294" s="2"/>
      <c r="G294" s="2"/>
      <c r="H294" s="10"/>
    </row>
    <row r="295" spans="1:8" s="124" customFormat="1" hidden="1" x14ac:dyDescent="0.25">
      <c r="A295" s="104">
        <v>1</v>
      </c>
      <c r="B295" s="109" t="s">
        <v>225</v>
      </c>
      <c r="C295" s="207" t="s">
        <v>52</v>
      </c>
      <c r="D295" s="13"/>
      <c r="E295" s="103">
        <v>600</v>
      </c>
      <c r="F295" s="2"/>
      <c r="G295" s="2"/>
      <c r="H295" s="10"/>
    </row>
    <row r="296" spans="1:8" s="124" customFormat="1" ht="30" hidden="1" x14ac:dyDescent="0.25">
      <c r="A296" s="104">
        <v>1</v>
      </c>
      <c r="B296" s="109" t="s">
        <v>225</v>
      </c>
      <c r="C296" s="205" t="s">
        <v>148</v>
      </c>
      <c r="D296" s="13"/>
      <c r="E296" s="103">
        <v>50</v>
      </c>
      <c r="F296" s="2"/>
      <c r="G296" s="2"/>
      <c r="H296" s="10"/>
    </row>
    <row r="297" spans="1:8" s="124" customFormat="1" hidden="1" x14ac:dyDescent="0.25">
      <c r="A297" s="104">
        <v>1</v>
      </c>
      <c r="B297" s="109" t="s">
        <v>225</v>
      </c>
      <c r="C297" s="127" t="s">
        <v>182</v>
      </c>
      <c r="D297" s="13"/>
      <c r="E297" s="103">
        <v>5300</v>
      </c>
      <c r="F297" s="2"/>
      <c r="G297" s="2"/>
      <c r="H297" s="10"/>
    </row>
    <row r="298" spans="1:8" s="124" customFormat="1" ht="30" hidden="1" x14ac:dyDescent="0.25">
      <c r="A298" s="104"/>
      <c r="B298" s="109" t="s">
        <v>225</v>
      </c>
      <c r="C298" s="205" t="s">
        <v>203</v>
      </c>
      <c r="D298" s="13"/>
      <c r="E298" s="103">
        <v>2500</v>
      </c>
      <c r="F298" s="2"/>
      <c r="G298" s="2"/>
      <c r="H298" s="10"/>
    </row>
    <row r="299" spans="1:8" s="124" customFormat="1" ht="30" hidden="1" x14ac:dyDescent="0.25">
      <c r="A299" s="104"/>
      <c r="B299" s="109" t="s">
        <v>225</v>
      </c>
      <c r="C299" s="208" t="s">
        <v>202</v>
      </c>
      <c r="D299" s="13"/>
      <c r="E299" s="103">
        <v>1000</v>
      </c>
      <c r="F299" s="2"/>
      <c r="G299" s="2"/>
      <c r="H299" s="10"/>
    </row>
    <row r="300" spans="1:8" s="124" customFormat="1" hidden="1" x14ac:dyDescent="0.25">
      <c r="A300" s="104">
        <v>1</v>
      </c>
      <c r="B300" s="109" t="s">
        <v>225</v>
      </c>
      <c r="C300" s="205" t="s">
        <v>15</v>
      </c>
      <c r="D300" s="13"/>
      <c r="E300" s="103">
        <v>50</v>
      </c>
      <c r="F300" s="2"/>
      <c r="G300" s="2"/>
      <c r="H300" s="10"/>
    </row>
    <row r="301" spans="1:8" s="124" customFormat="1" hidden="1" x14ac:dyDescent="0.25">
      <c r="A301" s="104">
        <v>1</v>
      </c>
      <c r="B301" s="109" t="s">
        <v>225</v>
      </c>
      <c r="C301" s="205" t="s">
        <v>27</v>
      </c>
      <c r="D301" s="13"/>
      <c r="E301" s="103">
        <v>400</v>
      </c>
      <c r="F301" s="2"/>
      <c r="G301" s="2"/>
      <c r="H301" s="10"/>
    </row>
    <row r="302" spans="1:8" s="124" customFormat="1" hidden="1" x14ac:dyDescent="0.25">
      <c r="A302" s="104">
        <v>1</v>
      </c>
      <c r="B302" s="109" t="s">
        <v>225</v>
      </c>
      <c r="C302" s="205" t="s">
        <v>51</v>
      </c>
      <c r="D302" s="13"/>
      <c r="E302" s="103">
        <v>1400</v>
      </c>
      <c r="F302" s="2"/>
      <c r="G302" s="2"/>
      <c r="H302" s="10"/>
    </row>
    <row r="303" spans="1:8" s="124" customFormat="1" hidden="1" x14ac:dyDescent="0.25">
      <c r="A303" s="104">
        <v>1</v>
      </c>
      <c r="B303" s="109" t="s">
        <v>225</v>
      </c>
      <c r="C303" s="205" t="s">
        <v>121</v>
      </c>
      <c r="D303" s="13"/>
      <c r="E303" s="103">
        <v>100</v>
      </c>
      <c r="F303" s="2"/>
      <c r="G303" s="2"/>
      <c r="H303" s="10"/>
    </row>
    <row r="304" spans="1:8" s="124" customFormat="1" hidden="1" x14ac:dyDescent="0.25">
      <c r="A304" s="104">
        <v>1</v>
      </c>
      <c r="B304" s="109" t="s">
        <v>225</v>
      </c>
      <c r="C304" s="205" t="s">
        <v>97</v>
      </c>
      <c r="D304" s="13"/>
      <c r="E304" s="103">
        <v>1450</v>
      </c>
      <c r="F304" s="2"/>
      <c r="G304" s="2"/>
      <c r="H304" s="10"/>
    </row>
    <row r="305" spans="1:9" s="124" customFormat="1" hidden="1" x14ac:dyDescent="0.25">
      <c r="A305" s="104">
        <v>1</v>
      </c>
      <c r="B305" s="109" t="s">
        <v>225</v>
      </c>
      <c r="C305" s="205" t="s">
        <v>118</v>
      </c>
      <c r="D305" s="13"/>
      <c r="E305" s="103">
        <v>750</v>
      </c>
      <c r="F305" s="2"/>
      <c r="G305" s="2"/>
      <c r="H305" s="10"/>
    </row>
    <row r="306" spans="1:9" s="124" customFormat="1" hidden="1" x14ac:dyDescent="0.25">
      <c r="A306" s="104"/>
      <c r="B306" s="109" t="s">
        <v>225</v>
      </c>
      <c r="C306" s="21" t="s">
        <v>198</v>
      </c>
      <c r="D306" s="13"/>
      <c r="E306" s="125">
        <f>E275</f>
        <v>61400</v>
      </c>
      <c r="F306" s="2"/>
      <c r="G306" s="2"/>
      <c r="H306" s="10"/>
    </row>
    <row r="307" spans="1:9" s="124" customFormat="1" hidden="1" x14ac:dyDescent="0.25">
      <c r="A307" s="104"/>
      <c r="B307" s="109" t="s">
        <v>225</v>
      </c>
      <c r="C307" s="21" t="s">
        <v>200</v>
      </c>
      <c r="D307" s="13"/>
      <c r="E307" s="125">
        <f>E282</f>
        <v>4600</v>
      </c>
      <c r="F307" s="2"/>
      <c r="G307" s="2"/>
      <c r="H307" s="10"/>
    </row>
    <row r="308" spans="1:9" s="124" customFormat="1" ht="29.25" hidden="1" x14ac:dyDescent="0.25">
      <c r="A308" s="104"/>
      <c r="B308" s="109" t="s">
        <v>225</v>
      </c>
      <c r="C308" s="21" t="s">
        <v>201</v>
      </c>
      <c r="D308" s="13"/>
      <c r="E308" s="125">
        <f>E286+E284</f>
        <v>35000</v>
      </c>
      <c r="F308" s="2"/>
      <c r="G308" s="2"/>
      <c r="H308" s="10"/>
    </row>
    <row r="309" spans="1:9" s="124" customFormat="1" hidden="1" x14ac:dyDescent="0.25">
      <c r="A309" s="104"/>
      <c r="B309" s="109" t="s">
        <v>225</v>
      </c>
      <c r="C309" s="22" t="s">
        <v>109</v>
      </c>
      <c r="D309" s="13"/>
      <c r="E309" s="125">
        <f>E308+E307*2.9+E306</f>
        <v>109740</v>
      </c>
      <c r="F309" s="2"/>
      <c r="G309" s="2"/>
      <c r="H309" s="10"/>
    </row>
    <row r="310" spans="1:9" s="124" customFormat="1" hidden="1" x14ac:dyDescent="0.25">
      <c r="A310" s="104">
        <v>1</v>
      </c>
      <c r="B310" s="109" t="s">
        <v>225</v>
      </c>
      <c r="C310" s="30" t="s">
        <v>7</v>
      </c>
      <c r="D310" s="115"/>
      <c r="E310" s="103"/>
      <c r="F310" s="2"/>
      <c r="G310" s="2"/>
      <c r="H310" s="10"/>
    </row>
    <row r="311" spans="1:9" s="124" customFormat="1" ht="15.75" hidden="1" x14ac:dyDescent="0.25">
      <c r="A311" s="104">
        <v>1</v>
      </c>
      <c r="B311" s="109" t="s">
        <v>225</v>
      </c>
      <c r="C311" s="129" t="s">
        <v>91</v>
      </c>
      <c r="D311" s="115"/>
      <c r="E311" s="103"/>
      <c r="F311" s="2"/>
      <c r="G311" s="2"/>
      <c r="H311" s="10"/>
    </row>
    <row r="312" spans="1:9" s="124" customFormat="1" hidden="1" x14ac:dyDescent="0.25">
      <c r="A312" s="104">
        <v>1</v>
      </c>
      <c r="B312" s="109" t="s">
        <v>225</v>
      </c>
      <c r="C312" s="1" t="s">
        <v>77</v>
      </c>
      <c r="D312" s="115">
        <v>300</v>
      </c>
      <c r="E312" s="10">
        <v>261</v>
      </c>
      <c r="F312" s="116">
        <v>14</v>
      </c>
      <c r="G312" s="2">
        <v>13</v>
      </c>
      <c r="H312" s="10">
        <f>ROUND(E312*F312,0)</f>
        <v>3654</v>
      </c>
    </row>
    <row r="313" spans="1:9" s="124" customFormat="1" hidden="1" x14ac:dyDescent="0.25">
      <c r="A313" s="104">
        <v>1</v>
      </c>
      <c r="B313" s="109" t="s">
        <v>225</v>
      </c>
      <c r="C313" s="1" t="s">
        <v>110</v>
      </c>
      <c r="D313" s="115">
        <v>300</v>
      </c>
      <c r="E313" s="10">
        <v>542</v>
      </c>
      <c r="F313" s="116">
        <v>5.8</v>
      </c>
      <c r="G313" s="2">
        <f>ROUND(H313/D313,0)</f>
        <v>10</v>
      </c>
      <c r="H313" s="10">
        <f>ROUND(E313*F313,0)</f>
        <v>3144</v>
      </c>
    </row>
    <row r="314" spans="1:9" s="124" customFormat="1" hidden="1" x14ac:dyDescent="0.25">
      <c r="A314" s="104">
        <v>1</v>
      </c>
      <c r="B314" s="109" t="s">
        <v>225</v>
      </c>
      <c r="C314" s="1" t="s">
        <v>56</v>
      </c>
      <c r="D314" s="115">
        <v>300</v>
      </c>
      <c r="E314" s="10">
        <v>204</v>
      </c>
      <c r="F314" s="163">
        <v>10</v>
      </c>
      <c r="G314" s="2">
        <v>10</v>
      </c>
      <c r="H314" s="10">
        <f>ROUND(E314*F314,0)</f>
        <v>2040</v>
      </c>
    </row>
    <row r="315" spans="1:9" s="124" customFormat="1" ht="15.75" hidden="1" x14ac:dyDescent="0.25">
      <c r="A315" s="104">
        <v>1</v>
      </c>
      <c r="B315" s="109" t="s">
        <v>225</v>
      </c>
      <c r="C315" s="139" t="s">
        <v>9</v>
      </c>
      <c r="D315" s="115"/>
      <c r="E315" s="140">
        <f>SUM(E312:E314)</f>
        <v>1007</v>
      </c>
      <c r="F315" s="135">
        <f>H315/E315</f>
        <v>8.7765640516385304</v>
      </c>
      <c r="G315" s="141">
        <f>SUM(G312:G314)</f>
        <v>33</v>
      </c>
      <c r="H315" s="141">
        <f t="shared" ref="H315" si="10">SUM(H312:H314)</f>
        <v>8838</v>
      </c>
      <c r="I315" s="168"/>
    </row>
    <row r="316" spans="1:9" s="124" customFormat="1" ht="15.75" hidden="1" x14ac:dyDescent="0.25">
      <c r="A316" s="104">
        <v>1</v>
      </c>
      <c r="B316" s="109" t="s">
        <v>225</v>
      </c>
      <c r="C316" s="129" t="s">
        <v>71</v>
      </c>
      <c r="D316" s="24"/>
      <c r="E316" s="140"/>
      <c r="F316" s="36"/>
      <c r="G316" s="141"/>
      <c r="H316" s="141"/>
    </row>
    <row r="317" spans="1:9" s="124" customFormat="1" ht="16.5" hidden="1" customHeight="1" x14ac:dyDescent="0.25">
      <c r="A317" s="104">
        <v>1</v>
      </c>
      <c r="B317" s="109" t="s">
        <v>225</v>
      </c>
      <c r="C317" s="25" t="s">
        <v>43</v>
      </c>
      <c r="D317" s="24">
        <v>240</v>
      </c>
      <c r="E317" s="10">
        <v>401</v>
      </c>
      <c r="F317" s="209">
        <v>8</v>
      </c>
      <c r="G317" s="2">
        <f>ROUND(H317/D317,0)</f>
        <v>13</v>
      </c>
      <c r="H317" s="10">
        <f>ROUND(E317*F317,0)</f>
        <v>3208</v>
      </c>
    </row>
    <row r="318" spans="1:9" s="124" customFormat="1" ht="17.25" hidden="1" customHeight="1" x14ac:dyDescent="0.25">
      <c r="A318" s="104">
        <v>1</v>
      </c>
      <c r="B318" s="109" t="s">
        <v>225</v>
      </c>
      <c r="C318" s="25" t="s">
        <v>10</v>
      </c>
      <c r="D318" s="24">
        <v>240</v>
      </c>
      <c r="E318" s="10">
        <v>189</v>
      </c>
      <c r="F318" s="210">
        <v>3</v>
      </c>
      <c r="G318" s="2">
        <v>5</v>
      </c>
      <c r="H318" s="10">
        <f>ROUND(E318*F318,0)</f>
        <v>567</v>
      </c>
    </row>
    <row r="319" spans="1:9" s="124" customFormat="1" ht="17.25" hidden="1" customHeight="1" x14ac:dyDescent="0.25">
      <c r="A319" s="104"/>
      <c r="B319" s="109"/>
      <c r="C319" s="25" t="s">
        <v>364</v>
      </c>
      <c r="D319" s="138">
        <v>240</v>
      </c>
      <c r="E319" s="10">
        <v>80</v>
      </c>
      <c r="F319" s="210">
        <v>10</v>
      </c>
      <c r="G319" s="2">
        <f>ROUND(H319/D319,0)</f>
        <v>3</v>
      </c>
      <c r="H319" s="10">
        <f>ROUND(E319*F319,0)</f>
        <v>800</v>
      </c>
    </row>
    <row r="320" spans="1:9" s="124" customFormat="1" ht="15.75" hidden="1" customHeight="1" x14ac:dyDescent="0.25">
      <c r="A320" s="104">
        <v>1</v>
      </c>
      <c r="B320" s="109" t="s">
        <v>225</v>
      </c>
      <c r="C320" s="139" t="s">
        <v>92</v>
      </c>
      <c r="D320" s="138"/>
      <c r="E320" s="140">
        <f>SUM(E317:E319)</f>
        <v>670</v>
      </c>
      <c r="F320" s="36">
        <f>H320/E320</f>
        <v>6.8283582089552235</v>
      </c>
      <c r="G320" s="141">
        <f>SUM(G317:G319)</f>
        <v>21</v>
      </c>
      <c r="H320" s="141">
        <f>SUM(H317:H319)</f>
        <v>4575</v>
      </c>
    </row>
    <row r="321" spans="1:8" s="124" customFormat="1" ht="18.75" hidden="1" customHeight="1" x14ac:dyDescent="0.25">
      <c r="A321" s="104">
        <v>1</v>
      </c>
      <c r="B321" s="109" t="s">
        <v>225</v>
      </c>
      <c r="C321" s="26" t="s">
        <v>86</v>
      </c>
      <c r="D321" s="115"/>
      <c r="E321" s="125">
        <f>E315+E320</f>
        <v>1677</v>
      </c>
      <c r="F321" s="135">
        <f>H321/E321</f>
        <v>7.9982110912343467</v>
      </c>
      <c r="G321" s="11">
        <f>G315+G320</f>
        <v>54</v>
      </c>
      <c r="H321" s="11">
        <f>H315+H320</f>
        <v>13413</v>
      </c>
    </row>
    <row r="322" spans="1:8" s="124" customFormat="1" ht="30" hidden="1" customHeight="1" x14ac:dyDescent="0.25">
      <c r="A322" s="104"/>
      <c r="B322" s="109" t="s">
        <v>225</v>
      </c>
      <c r="C322" s="211" t="s">
        <v>332</v>
      </c>
      <c r="D322" s="115"/>
      <c r="E322" s="212"/>
      <c r="F322" s="213"/>
      <c r="G322" s="28"/>
      <c r="H322" s="153"/>
    </row>
    <row r="323" spans="1:8" s="124" customFormat="1" ht="30" hidden="1" customHeight="1" x14ac:dyDescent="0.25">
      <c r="A323" s="104"/>
      <c r="B323" s="109"/>
      <c r="C323" s="211" t="s">
        <v>333</v>
      </c>
      <c r="D323" s="115"/>
      <c r="E323" s="212"/>
      <c r="F323" s="213"/>
      <c r="G323" s="28"/>
      <c r="H323" s="28"/>
    </row>
    <row r="324" spans="1:8" s="124" customFormat="1" ht="30" hidden="1" customHeight="1" x14ac:dyDescent="0.25">
      <c r="A324" s="104"/>
      <c r="B324" s="109"/>
      <c r="C324" s="211" t="s">
        <v>334</v>
      </c>
      <c r="D324" s="115"/>
      <c r="E324" s="212"/>
      <c r="F324" s="213"/>
      <c r="G324" s="28"/>
      <c r="H324" s="153"/>
    </row>
    <row r="325" spans="1:8" s="124" customFormat="1" ht="30" hidden="1" customHeight="1" x14ac:dyDescent="0.25">
      <c r="A325" s="104"/>
      <c r="B325" s="109"/>
      <c r="C325" s="214" t="s">
        <v>335</v>
      </c>
      <c r="D325" s="115"/>
      <c r="E325" s="212"/>
      <c r="F325" s="213"/>
      <c r="G325" s="28"/>
      <c r="H325" s="28"/>
    </row>
    <row r="326" spans="1:8" s="124" customFormat="1" ht="81" hidden="1" customHeight="1" x14ac:dyDescent="0.25">
      <c r="A326" s="104"/>
      <c r="B326" s="109"/>
      <c r="C326" s="215" t="s">
        <v>336</v>
      </c>
      <c r="D326" s="115"/>
      <c r="E326" s="212"/>
      <c r="F326" s="213"/>
      <c r="G326" s="28"/>
      <c r="H326" s="153"/>
    </row>
    <row r="327" spans="1:8" s="124" customFormat="1" ht="30" hidden="1" customHeight="1" x14ac:dyDescent="0.25">
      <c r="A327" s="104"/>
      <c r="B327" s="109"/>
      <c r="C327" s="214" t="s">
        <v>337</v>
      </c>
      <c r="D327" s="115"/>
      <c r="E327" s="212"/>
      <c r="F327" s="213"/>
      <c r="G327" s="28"/>
      <c r="H327" s="37"/>
    </row>
    <row r="328" spans="1:8" s="124" customFormat="1" ht="75" hidden="1" x14ac:dyDescent="0.25">
      <c r="A328" s="104"/>
      <c r="B328" s="109"/>
      <c r="C328" s="214" t="s">
        <v>328</v>
      </c>
      <c r="D328" s="115"/>
      <c r="E328" s="212"/>
      <c r="F328" s="213"/>
      <c r="G328" s="28"/>
      <c r="H328" s="28"/>
    </row>
    <row r="329" spans="1:8" s="124" customFormat="1" ht="29.25" hidden="1" x14ac:dyDescent="0.25">
      <c r="A329" s="104"/>
      <c r="B329" s="109" t="s">
        <v>225</v>
      </c>
      <c r="C329" s="216" t="s">
        <v>320</v>
      </c>
      <c r="D329" s="115"/>
      <c r="E329" s="212">
        <f>SUM(E322:E328)</f>
        <v>0</v>
      </c>
      <c r="F329" s="196"/>
      <c r="G329" s="141"/>
      <c r="H329" s="141"/>
    </row>
    <row r="330" spans="1:8" s="124" customFormat="1" ht="15.75" hidden="1" x14ac:dyDescent="0.25">
      <c r="A330" s="104"/>
      <c r="B330" s="109"/>
      <c r="C330" s="27" t="s">
        <v>180</v>
      </c>
      <c r="D330" s="115"/>
      <c r="E330" s="183">
        <v>10</v>
      </c>
      <c r="F330" s="213"/>
      <c r="G330" s="28"/>
      <c r="H330" s="28"/>
    </row>
    <row r="331" spans="1:8" s="124" customFormat="1" ht="15.75" hidden="1" x14ac:dyDescent="0.25">
      <c r="A331" s="104"/>
      <c r="B331" s="109"/>
      <c r="C331" s="27" t="s">
        <v>365</v>
      </c>
      <c r="D331" s="115"/>
      <c r="E331" s="183">
        <v>11</v>
      </c>
      <c r="F331" s="213"/>
      <c r="G331" s="28"/>
      <c r="H331" s="153"/>
    </row>
    <row r="332" spans="1:8" s="124" customFormat="1" ht="16.5" hidden="1" thickBot="1" x14ac:dyDescent="0.3">
      <c r="A332" s="104"/>
      <c r="B332" s="109"/>
      <c r="C332" s="148" t="s">
        <v>159</v>
      </c>
      <c r="D332" s="115"/>
      <c r="E332" s="212">
        <f>SUM(E330:E331)</f>
        <v>21</v>
      </c>
      <c r="F332" s="213"/>
      <c r="G332" s="28"/>
      <c r="H332" s="37"/>
    </row>
    <row r="333" spans="1:8" s="159" customFormat="1" ht="15.75" hidden="1" customHeight="1" thickBot="1" x14ac:dyDescent="0.3">
      <c r="A333" s="104">
        <v>1</v>
      </c>
      <c r="B333" s="109" t="s">
        <v>225</v>
      </c>
      <c r="C333" s="154" t="s">
        <v>220</v>
      </c>
      <c r="D333" s="155"/>
      <c r="E333" s="156"/>
      <c r="F333" s="157"/>
      <c r="G333" s="158"/>
      <c r="H333" s="157"/>
    </row>
    <row r="334" spans="1:8" s="159" customFormat="1" ht="15" hidden="1" customHeight="1" x14ac:dyDescent="0.25">
      <c r="A334" s="104">
        <v>1</v>
      </c>
      <c r="B334" s="104"/>
      <c r="C334" s="217"/>
      <c r="D334" s="182"/>
      <c r="E334" s="103"/>
      <c r="F334" s="10"/>
      <c r="G334" s="10"/>
      <c r="H334" s="10"/>
    </row>
    <row r="335" spans="1:8" ht="29.25" hidden="1" x14ac:dyDescent="0.25">
      <c r="A335" s="104">
        <v>1</v>
      </c>
      <c r="B335" s="109" t="s">
        <v>226</v>
      </c>
      <c r="C335" s="674" t="s">
        <v>374</v>
      </c>
      <c r="D335" s="115"/>
      <c r="E335" s="103"/>
      <c r="F335" s="10"/>
      <c r="G335" s="10"/>
      <c r="H335" s="10"/>
    </row>
    <row r="336" spans="1:8" hidden="1" x14ac:dyDescent="0.25">
      <c r="A336" s="104">
        <v>1</v>
      </c>
      <c r="B336" s="109" t="s">
        <v>226</v>
      </c>
      <c r="C336" s="112" t="s">
        <v>4</v>
      </c>
      <c r="D336" s="115"/>
      <c r="E336" s="103"/>
      <c r="F336" s="10"/>
      <c r="G336" s="10"/>
      <c r="H336" s="10"/>
    </row>
    <row r="337" spans="1:9" hidden="1" x14ac:dyDescent="0.25">
      <c r="A337" s="104">
        <v>1</v>
      </c>
      <c r="B337" s="109" t="s">
        <v>226</v>
      </c>
      <c r="C337" s="32" t="s">
        <v>81</v>
      </c>
      <c r="D337" s="115">
        <v>340</v>
      </c>
      <c r="E337" s="10">
        <v>726</v>
      </c>
      <c r="F337" s="218">
        <v>12</v>
      </c>
      <c r="G337" s="2">
        <f t="shared" ref="G337:G342" si="11">ROUND(H337/D337,0)</f>
        <v>26</v>
      </c>
      <c r="H337" s="10">
        <f t="shared" ref="H337:H342" si="12">ROUND(E337*F337,0)</f>
        <v>8712</v>
      </c>
      <c r="I337" s="219"/>
    </row>
    <row r="338" spans="1:9" hidden="1" x14ac:dyDescent="0.25">
      <c r="A338" s="104">
        <v>1</v>
      </c>
      <c r="B338" s="109" t="s">
        <v>226</v>
      </c>
      <c r="C338" s="32" t="s">
        <v>84</v>
      </c>
      <c r="D338" s="115">
        <v>340</v>
      </c>
      <c r="E338" s="10">
        <f>3050+1</f>
        <v>3051</v>
      </c>
      <c r="F338" s="218">
        <v>5.6</v>
      </c>
      <c r="G338" s="2">
        <f t="shared" si="11"/>
        <v>50</v>
      </c>
      <c r="H338" s="10">
        <f t="shared" si="12"/>
        <v>17086</v>
      </c>
      <c r="I338" s="219"/>
    </row>
    <row r="339" spans="1:9" hidden="1" x14ac:dyDescent="0.25">
      <c r="A339" s="104">
        <v>1</v>
      </c>
      <c r="B339" s="109" t="s">
        <v>226</v>
      </c>
      <c r="C339" s="32" t="s">
        <v>76</v>
      </c>
      <c r="D339" s="115">
        <v>340</v>
      </c>
      <c r="E339" s="10">
        <v>1029</v>
      </c>
      <c r="F339" s="218">
        <v>17.5</v>
      </c>
      <c r="G339" s="2">
        <f t="shared" si="11"/>
        <v>53</v>
      </c>
      <c r="H339" s="10">
        <f t="shared" si="12"/>
        <v>18008</v>
      </c>
      <c r="I339" s="219"/>
    </row>
    <row r="340" spans="1:9" hidden="1" x14ac:dyDescent="0.25">
      <c r="A340" s="104">
        <v>1</v>
      </c>
      <c r="B340" s="109" t="s">
        <v>226</v>
      </c>
      <c r="C340" s="32" t="s">
        <v>83</v>
      </c>
      <c r="D340" s="115">
        <v>340</v>
      </c>
      <c r="E340" s="10">
        <v>863</v>
      </c>
      <c r="F340" s="218">
        <v>13</v>
      </c>
      <c r="G340" s="2">
        <f t="shared" si="11"/>
        <v>33</v>
      </c>
      <c r="H340" s="10">
        <f t="shared" si="12"/>
        <v>11219</v>
      </c>
      <c r="I340" s="219"/>
    </row>
    <row r="341" spans="1:9" hidden="1" x14ac:dyDescent="0.25">
      <c r="A341" s="104">
        <v>1</v>
      </c>
      <c r="B341" s="109" t="s">
        <v>226</v>
      </c>
      <c r="C341" s="32" t="s">
        <v>82</v>
      </c>
      <c r="D341" s="115">
        <v>340</v>
      </c>
      <c r="E341" s="10">
        <v>595</v>
      </c>
      <c r="F341" s="218">
        <v>15</v>
      </c>
      <c r="G341" s="2">
        <f t="shared" si="11"/>
        <v>26</v>
      </c>
      <c r="H341" s="10">
        <f t="shared" si="12"/>
        <v>8925</v>
      </c>
      <c r="I341" s="219"/>
    </row>
    <row r="342" spans="1:9" hidden="1" x14ac:dyDescent="0.25">
      <c r="A342" s="104">
        <v>1</v>
      </c>
      <c r="B342" s="109" t="s">
        <v>226</v>
      </c>
      <c r="C342" s="32" t="s">
        <v>68</v>
      </c>
      <c r="D342" s="115">
        <v>340</v>
      </c>
      <c r="E342" s="10">
        <v>565</v>
      </c>
      <c r="F342" s="218">
        <v>30</v>
      </c>
      <c r="G342" s="2">
        <f t="shared" si="11"/>
        <v>50</v>
      </c>
      <c r="H342" s="10">
        <f t="shared" si="12"/>
        <v>16950</v>
      </c>
      <c r="I342" s="219"/>
    </row>
    <row r="343" spans="1:9" s="124" customFormat="1" hidden="1" x14ac:dyDescent="0.25">
      <c r="A343" s="104">
        <v>1</v>
      </c>
      <c r="B343" s="109" t="s">
        <v>226</v>
      </c>
      <c r="C343" s="120" t="s">
        <v>5</v>
      </c>
      <c r="D343" s="121"/>
      <c r="E343" s="11">
        <f>SUM(E337:E342)</f>
        <v>6829</v>
      </c>
      <c r="F343" s="180">
        <f>H343/E343</f>
        <v>11.846536828232537</v>
      </c>
      <c r="G343" s="220">
        <f>SUM(G337:G342)</f>
        <v>238</v>
      </c>
      <c r="H343" s="38">
        <f>SUM(H337:H342)</f>
        <v>80900</v>
      </c>
      <c r="I343" s="167">
        <f>E343-E344</f>
        <v>6549</v>
      </c>
    </row>
    <row r="344" spans="1:9" s="124" customFormat="1" hidden="1" x14ac:dyDescent="0.25">
      <c r="A344" s="104"/>
      <c r="B344" s="109" t="s">
        <v>226</v>
      </c>
      <c r="C344" s="120" t="s">
        <v>213</v>
      </c>
      <c r="D344" s="121"/>
      <c r="E344" s="11">
        <v>280</v>
      </c>
      <c r="F344" s="180"/>
      <c r="G344" s="220"/>
      <c r="H344" s="38"/>
      <c r="I344" s="221"/>
    </row>
    <row r="345" spans="1:9" s="124" customFormat="1" ht="17.25" hidden="1" customHeight="1" x14ac:dyDescent="0.25">
      <c r="A345" s="104">
        <v>1</v>
      </c>
      <c r="B345" s="109" t="s">
        <v>226</v>
      </c>
      <c r="C345" s="12" t="s">
        <v>6</v>
      </c>
      <c r="D345" s="13"/>
      <c r="E345" s="103"/>
      <c r="F345" s="113"/>
      <c r="G345" s="113"/>
      <c r="H345" s="39"/>
      <c r="I345" s="221"/>
    </row>
    <row r="346" spans="1:9" s="124" customFormat="1" ht="17.25" hidden="1" customHeight="1" x14ac:dyDescent="0.25">
      <c r="A346" s="104"/>
      <c r="B346" s="109" t="s">
        <v>226</v>
      </c>
      <c r="C346" s="12" t="s">
        <v>96</v>
      </c>
      <c r="D346" s="13"/>
      <c r="E346" s="103"/>
      <c r="F346" s="113"/>
      <c r="G346" s="113"/>
      <c r="H346" s="39"/>
      <c r="I346" s="221"/>
    </row>
    <row r="347" spans="1:9" s="124" customFormat="1" ht="17.25" hidden="1" customHeight="1" x14ac:dyDescent="0.25">
      <c r="A347" s="104"/>
      <c r="B347" s="109" t="s">
        <v>226</v>
      </c>
      <c r="C347" s="14" t="s">
        <v>296</v>
      </c>
      <c r="D347" s="13"/>
      <c r="E347" s="125">
        <f>E349+E353</f>
        <v>41500</v>
      </c>
      <c r="F347" s="113"/>
      <c r="G347" s="113"/>
      <c r="H347" s="39"/>
      <c r="I347" s="221"/>
    </row>
    <row r="348" spans="1:9" s="124" customFormat="1" ht="17.25" hidden="1" customHeight="1" x14ac:dyDescent="0.25">
      <c r="A348" s="104"/>
      <c r="B348" s="109" t="s">
        <v>226</v>
      </c>
      <c r="C348" s="15" t="s">
        <v>297</v>
      </c>
      <c r="D348" s="13"/>
      <c r="E348" s="103"/>
      <c r="F348" s="113"/>
      <c r="G348" s="113"/>
      <c r="H348" s="39"/>
      <c r="I348" s="221"/>
    </row>
    <row r="349" spans="1:9" s="124" customFormat="1" ht="30" hidden="1" x14ac:dyDescent="0.25">
      <c r="A349" s="104"/>
      <c r="B349" s="109" t="s">
        <v>226</v>
      </c>
      <c r="C349" s="16" t="s">
        <v>298</v>
      </c>
      <c r="D349" s="13"/>
      <c r="E349" s="103">
        <f>E350+E351</f>
        <v>40000</v>
      </c>
      <c r="F349" s="113"/>
      <c r="G349" s="113"/>
      <c r="H349" s="39"/>
      <c r="I349" s="221"/>
    </row>
    <row r="350" spans="1:9" s="124" customFormat="1" hidden="1" x14ac:dyDescent="0.25">
      <c r="A350" s="104"/>
      <c r="B350" s="109" t="s">
        <v>226</v>
      </c>
      <c r="C350" s="15" t="s">
        <v>299</v>
      </c>
      <c r="D350" s="13"/>
      <c r="E350" s="103">
        <v>40000</v>
      </c>
      <c r="F350" s="10"/>
      <c r="G350" s="10"/>
      <c r="H350" s="10"/>
    </row>
    <row r="351" spans="1:9" s="124" customFormat="1" ht="49.5" hidden="1" customHeight="1" x14ac:dyDescent="0.25">
      <c r="A351" s="104"/>
      <c r="B351" s="109" t="s">
        <v>226</v>
      </c>
      <c r="C351" s="15" t="s">
        <v>301</v>
      </c>
      <c r="D351" s="13"/>
      <c r="E351" s="103"/>
      <c r="F351" s="113"/>
      <c r="G351" s="113"/>
      <c r="H351" s="39"/>
      <c r="I351" s="221"/>
    </row>
    <row r="352" spans="1:9" s="124" customFormat="1" ht="44.25" hidden="1" customHeight="1" x14ac:dyDescent="0.25">
      <c r="A352" s="104"/>
      <c r="B352" s="109" t="s">
        <v>226</v>
      </c>
      <c r="C352" s="15" t="s">
        <v>309</v>
      </c>
      <c r="D352" s="13"/>
      <c r="E352" s="103"/>
      <c r="F352" s="113"/>
      <c r="G352" s="113"/>
      <c r="H352" s="39"/>
      <c r="I352" s="221"/>
    </row>
    <row r="353" spans="1:9" s="124" customFormat="1" ht="33" hidden="1" customHeight="1" x14ac:dyDescent="0.25">
      <c r="A353" s="104"/>
      <c r="B353" s="109" t="s">
        <v>226</v>
      </c>
      <c r="C353" s="18" t="s">
        <v>310</v>
      </c>
      <c r="D353" s="13"/>
      <c r="E353" s="103">
        <v>1500</v>
      </c>
      <c r="F353" s="113"/>
      <c r="G353" s="113"/>
      <c r="H353" s="39"/>
      <c r="I353" s="221"/>
    </row>
    <row r="354" spans="1:9" s="124" customFormat="1" ht="17.25" hidden="1" customHeight="1" x14ac:dyDescent="0.25">
      <c r="A354" s="104"/>
      <c r="B354" s="109" t="s">
        <v>226</v>
      </c>
      <c r="C354" s="14" t="s">
        <v>303</v>
      </c>
      <c r="D354" s="13"/>
      <c r="E354" s="103">
        <f>E355</f>
        <v>1088</v>
      </c>
      <c r="F354" s="113"/>
      <c r="G354" s="113"/>
      <c r="H354" s="39"/>
      <c r="I354" s="221"/>
    </row>
    <row r="355" spans="1:9" s="124" customFormat="1" ht="17.25" hidden="1" customHeight="1" x14ac:dyDescent="0.25">
      <c r="A355" s="104"/>
      <c r="B355" s="109"/>
      <c r="C355" s="14" t="s">
        <v>304</v>
      </c>
      <c r="D355" s="13"/>
      <c r="E355" s="103">
        <v>1088</v>
      </c>
      <c r="F355" s="113"/>
      <c r="G355" s="113"/>
      <c r="H355" s="39"/>
      <c r="I355" s="221"/>
    </row>
    <row r="356" spans="1:9" s="124" customFormat="1" ht="32.25" hidden="1" customHeight="1" x14ac:dyDescent="0.25">
      <c r="A356" s="104">
        <v>1</v>
      </c>
      <c r="B356" s="109" t="s">
        <v>226</v>
      </c>
      <c r="C356" s="14" t="s">
        <v>306</v>
      </c>
      <c r="D356" s="13"/>
      <c r="E356" s="103">
        <f>E357</f>
        <v>0</v>
      </c>
      <c r="F356" s="113"/>
      <c r="G356" s="113"/>
      <c r="H356" s="39"/>
      <c r="I356" s="221"/>
    </row>
    <row r="357" spans="1:9" s="124" customFormat="1" ht="30" hidden="1" x14ac:dyDescent="0.25">
      <c r="A357" s="104">
        <v>1</v>
      </c>
      <c r="B357" s="109" t="s">
        <v>226</v>
      </c>
      <c r="C357" s="19" t="s">
        <v>115</v>
      </c>
      <c r="D357" s="13"/>
      <c r="E357" s="103"/>
      <c r="F357" s="113"/>
      <c r="G357" s="113"/>
      <c r="H357" s="39"/>
      <c r="I357" s="221"/>
    </row>
    <row r="358" spans="1:9" s="124" customFormat="1" ht="57.75" hidden="1" x14ac:dyDescent="0.25">
      <c r="A358" s="104">
        <v>1</v>
      </c>
      <c r="B358" s="109" t="s">
        <v>226</v>
      </c>
      <c r="C358" s="14" t="s">
        <v>307</v>
      </c>
      <c r="D358" s="24"/>
      <c r="E358" s="103"/>
      <c r="F358" s="113"/>
      <c r="G358" s="113"/>
      <c r="H358" s="39"/>
      <c r="I358" s="221"/>
    </row>
    <row r="359" spans="1:9" s="124" customFormat="1" ht="15.75" hidden="1" x14ac:dyDescent="0.25">
      <c r="A359" s="104">
        <v>1</v>
      </c>
      <c r="B359" s="109" t="s">
        <v>226</v>
      </c>
      <c r="C359" s="204" t="s">
        <v>158</v>
      </c>
      <c r="D359" s="24"/>
      <c r="E359" s="125">
        <f>SUM(E360:E393)</f>
        <v>53720</v>
      </c>
      <c r="F359" s="113"/>
      <c r="G359" s="113"/>
      <c r="H359" s="39"/>
      <c r="I359" s="221"/>
    </row>
    <row r="360" spans="1:9" s="124" customFormat="1" ht="30" hidden="1" x14ac:dyDescent="0.25">
      <c r="A360" s="104">
        <v>1</v>
      </c>
      <c r="B360" s="109" t="s">
        <v>226</v>
      </c>
      <c r="C360" s="32" t="s">
        <v>129</v>
      </c>
      <c r="D360" s="24"/>
      <c r="E360" s="103">
        <v>4800</v>
      </c>
      <c r="F360" s="113"/>
      <c r="G360" s="113"/>
      <c r="H360" s="39"/>
      <c r="I360" s="221"/>
    </row>
    <row r="361" spans="1:9" s="124" customFormat="1" ht="47.25" hidden="1" customHeight="1" x14ac:dyDescent="0.25">
      <c r="A361" s="104">
        <v>1</v>
      </c>
      <c r="B361" s="109" t="s">
        <v>226</v>
      </c>
      <c r="C361" s="32" t="s">
        <v>323</v>
      </c>
      <c r="D361" s="24"/>
      <c r="E361" s="103">
        <v>350</v>
      </c>
      <c r="F361" s="113"/>
      <c r="G361" s="113"/>
      <c r="H361" s="39"/>
      <c r="I361" s="221"/>
    </row>
    <row r="362" spans="1:9" s="124" customFormat="1" ht="31.9" hidden="1" customHeight="1" x14ac:dyDescent="0.25">
      <c r="A362" s="104"/>
      <c r="B362" s="109"/>
      <c r="C362" s="222" t="s">
        <v>324</v>
      </c>
      <c r="D362" s="24"/>
      <c r="E362" s="103">
        <v>90</v>
      </c>
      <c r="F362" s="113"/>
      <c r="G362" s="113"/>
      <c r="H362" s="39"/>
      <c r="I362" s="221"/>
    </row>
    <row r="363" spans="1:9" s="124" customFormat="1" ht="30" hidden="1" x14ac:dyDescent="0.25">
      <c r="A363" s="104"/>
      <c r="B363" s="109"/>
      <c r="C363" s="32" t="s">
        <v>325</v>
      </c>
      <c r="D363" s="24"/>
      <c r="E363" s="103">
        <v>20</v>
      </c>
      <c r="F363" s="113"/>
      <c r="G363" s="113"/>
      <c r="H363" s="39"/>
      <c r="I363" s="221"/>
    </row>
    <row r="364" spans="1:9" s="124" customFormat="1" hidden="1" x14ac:dyDescent="0.25">
      <c r="A364" s="104"/>
      <c r="B364" s="109"/>
      <c r="C364" s="32" t="s">
        <v>166</v>
      </c>
      <c r="D364" s="24"/>
      <c r="E364" s="103">
        <v>500</v>
      </c>
      <c r="F364" s="113"/>
      <c r="G364" s="113"/>
      <c r="H364" s="39"/>
      <c r="I364" s="221"/>
    </row>
    <row r="365" spans="1:9" s="124" customFormat="1" hidden="1" x14ac:dyDescent="0.25">
      <c r="A365" s="104">
        <v>1</v>
      </c>
      <c r="B365" s="109" t="s">
        <v>226</v>
      </c>
      <c r="C365" s="32" t="s">
        <v>140</v>
      </c>
      <c r="D365" s="24"/>
      <c r="E365" s="103">
        <v>60</v>
      </c>
      <c r="F365" s="113"/>
      <c r="G365" s="113"/>
      <c r="H365" s="39"/>
      <c r="I365" s="221"/>
    </row>
    <row r="366" spans="1:9" s="124" customFormat="1" hidden="1" x14ac:dyDescent="0.25">
      <c r="A366" s="104"/>
      <c r="B366" s="109"/>
      <c r="C366" s="32" t="s">
        <v>16</v>
      </c>
      <c r="D366" s="24"/>
      <c r="E366" s="103">
        <v>900</v>
      </c>
      <c r="F366" s="113"/>
      <c r="G366" s="113"/>
      <c r="H366" s="39"/>
      <c r="I366" s="221"/>
    </row>
    <row r="367" spans="1:9" s="124" customFormat="1" ht="15.75" hidden="1" customHeight="1" x14ac:dyDescent="0.25">
      <c r="A367" s="104">
        <v>1</v>
      </c>
      <c r="B367" s="109" t="s">
        <v>226</v>
      </c>
      <c r="C367" s="32" t="s">
        <v>17</v>
      </c>
      <c r="D367" s="24"/>
      <c r="E367" s="103">
        <v>11000</v>
      </c>
      <c r="F367" s="113"/>
      <c r="G367" s="113"/>
      <c r="H367" s="39"/>
      <c r="I367" s="221"/>
    </row>
    <row r="368" spans="1:9" s="124" customFormat="1" ht="31.15" hidden="1" customHeight="1" x14ac:dyDescent="0.25">
      <c r="A368" s="104"/>
      <c r="B368" s="109" t="s">
        <v>226</v>
      </c>
      <c r="C368" s="126" t="s">
        <v>139</v>
      </c>
      <c r="D368" s="24"/>
      <c r="E368" s="103">
        <v>10000</v>
      </c>
      <c r="F368" s="113"/>
      <c r="G368" s="113"/>
      <c r="H368" s="39"/>
      <c r="I368" s="221"/>
    </row>
    <row r="369" spans="1:9" s="124" customFormat="1" ht="31.15" hidden="1" customHeight="1" x14ac:dyDescent="0.25">
      <c r="A369" s="104"/>
      <c r="B369" s="109"/>
      <c r="C369" s="126" t="s">
        <v>126</v>
      </c>
      <c r="D369" s="24"/>
      <c r="E369" s="103">
        <v>40</v>
      </c>
      <c r="F369" s="113"/>
      <c r="G369" s="113"/>
      <c r="H369" s="39"/>
      <c r="I369" s="221"/>
    </row>
    <row r="370" spans="1:9" s="124" customFormat="1" ht="30" hidden="1" x14ac:dyDescent="0.25">
      <c r="A370" s="104">
        <v>1</v>
      </c>
      <c r="B370" s="109" t="s">
        <v>226</v>
      </c>
      <c r="C370" s="32" t="s">
        <v>286</v>
      </c>
      <c r="D370" s="24"/>
      <c r="E370" s="103">
        <v>100</v>
      </c>
      <c r="F370" s="113"/>
      <c r="G370" s="113"/>
      <c r="H370" s="39"/>
      <c r="I370" s="221"/>
    </row>
    <row r="371" spans="1:9" s="124" customFormat="1" ht="51" hidden="1" customHeight="1" x14ac:dyDescent="0.25">
      <c r="A371" s="104"/>
      <c r="B371" s="109" t="s">
        <v>226</v>
      </c>
      <c r="C371" s="32" t="s">
        <v>285</v>
      </c>
      <c r="D371" s="24"/>
      <c r="E371" s="103">
        <v>80</v>
      </c>
      <c r="F371" s="113"/>
      <c r="G371" s="113"/>
      <c r="H371" s="39"/>
      <c r="I371" s="221"/>
    </row>
    <row r="372" spans="1:9" s="124" customFormat="1" ht="44.25" hidden="1" customHeight="1" x14ac:dyDescent="0.25">
      <c r="A372" s="104">
        <v>1</v>
      </c>
      <c r="B372" s="109" t="s">
        <v>226</v>
      </c>
      <c r="C372" s="32" t="s">
        <v>214</v>
      </c>
      <c r="D372" s="24"/>
      <c r="E372" s="103">
        <v>100</v>
      </c>
      <c r="F372" s="113"/>
      <c r="G372" s="113"/>
      <c r="H372" s="39"/>
      <c r="I372" s="221"/>
    </row>
    <row r="373" spans="1:9" s="124" customFormat="1" ht="45" hidden="1" x14ac:dyDescent="0.25">
      <c r="A373" s="104">
        <v>1</v>
      </c>
      <c r="B373" s="109" t="s">
        <v>226</v>
      </c>
      <c r="C373" s="222" t="s">
        <v>287</v>
      </c>
      <c r="D373" s="24"/>
      <c r="E373" s="103">
        <v>150</v>
      </c>
      <c r="F373" s="113"/>
      <c r="G373" s="113"/>
      <c r="H373" s="39"/>
      <c r="I373" s="221"/>
    </row>
    <row r="374" spans="1:9" s="124" customFormat="1" ht="45" hidden="1" x14ac:dyDescent="0.25">
      <c r="A374" s="104"/>
      <c r="B374" s="109"/>
      <c r="C374" s="222" t="s">
        <v>342</v>
      </c>
      <c r="D374" s="24"/>
      <c r="E374" s="103">
        <v>100</v>
      </c>
      <c r="F374" s="113"/>
      <c r="G374" s="113"/>
      <c r="H374" s="39"/>
      <c r="I374" s="221"/>
    </row>
    <row r="375" spans="1:9" s="124" customFormat="1" ht="30" hidden="1" x14ac:dyDescent="0.25">
      <c r="A375" s="104"/>
      <c r="B375" s="109"/>
      <c r="C375" s="222" t="s">
        <v>357</v>
      </c>
      <c r="D375" s="24"/>
      <c r="E375" s="103">
        <v>100</v>
      </c>
      <c r="F375" s="113"/>
      <c r="G375" s="113"/>
      <c r="H375" s="39"/>
      <c r="I375" s="221"/>
    </row>
    <row r="376" spans="1:9" s="124" customFormat="1" ht="45" hidden="1" x14ac:dyDescent="0.25">
      <c r="A376" s="104"/>
      <c r="B376" s="109"/>
      <c r="C376" s="222" t="s">
        <v>358</v>
      </c>
      <c r="D376" s="24"/>
      <c r="E376" s="103">
        <v>300</v>
      </c>
      <c r="F376" s="113"/>
      <c r="G376" s="113"/>
      <c r="H376" s="39"/>
      <c r="I376" s="221"/>
    </row>
    <row r="377" spans="1:9" s="124" customFormat="1" ht="45" hidden="1" x14ac:dyDescent="0.25">
      <c r="A377" s="104"/>
      <c r="B377" s="109"/>
      <c r="C377" s="222" t="s">
        <v>359</v>
      </c>
      <c r="D377" s="24"/>
      <c r="E377" s="103">
        <v>300</v>
      </c>
      <c r="F377" s="113"/>
      <c r="G377" s="113"/>
      <c r="H377" s="39"/>
      <c r="I377" s="221"/>
    </row>
    <row r="378" spans="1:9" s="124" customFormat="1" ht="14.25" hidden="1" customHeight="1" x14ac:dyDescent="0.25">
      <c r="A378" s="104"/>
      <c r="B378" s="109"/>
      <c r="C378" s="222" t="s">
        <v>204</v>
      </c>
      <c r="D378" s="24"/>
      <c r="E378" s="103">
        <v>1900</v>
      </c>
      <c r="F378" s="113"/>
      <c r="G378" s="113"/>
      <c r="H378" s="39"/>
      <c r="I378" s="221"/>
    </row>
    <row r="379" spans="1:9" s="124" customFormat="1" hidden="1" x14ac:dyDescent="0.25">
      <c r="A379" s="104">
        <v>1</v>
      </c>
      <c r="B379" s="109" t="s">
        <v>226</v>
      </c>
      <c r="C379" s="127" t="s">
        <v>217</v>
      </c>
      <c r="D379" s="24"/>
      <c r="E379" s="103">
        <v>1500</v>
      </c>
      <c r="F379" s="113"/>
      <c r="G379" s="113"/>
      <c r="H379" s="39"/>
      <c r="I379" s="221"/>
    </row>
    <row r="380" spans="1:9" s="124" customFormat="1" ht="30" hidden="1" x14ac:dyDescent="0.25">
      <c r="A380" s="104">
        <v>1</v>
      </c>
      <c r="B380" s="109" t="s">
        <v>226</v>
      </c>
      <c r="C380" s="127" t="s">
        <v>150</v>
      </c>
      <c r="D380" s="24"/>
      <c r="E380" s="103">
        <v>2160</v>
      </c>
      <c r="F380" s="113"/>
      <c r="G380" s="113"/>
      <c r="H380" s="39"/>
      <c r="I380" s="221"/>
    </row>
    <row r="381" spans="1:9" s="124" customFormat="1" ht="39" hidden="1" customHeight="1" x14ac:dyDescent="0.25">
      <c r="A381" s="104">
        <v>1</v>
      </c>
      <c r="B381" s="109" t="s">
        <v>226</v>
      </c>
      <c r="C381" s="32" t="s">
        <v>72</v>
      </c>
      <c r="D381" s="24"/>
      <c r="E381" s="103">
        <v>4100</v>
      </c>
      <c r="F381" s="113"/>
      <c r="G381" s="113"/>
      <c r="H381" s="39"/>
      <c r="I381" s="221"/>
    </row>
    <row r="382" spans="1:9" s="124" customFormat="1" ht="30" hidden="1" x14ac:dyDescent="0.25">
      <c r="A382" s="104">
        <v>1</v>
      </c>
      <c r="B382" s="109" t="s">
        <v>226</v>
      </c>
      <c r="C382" s="32" t="s">
        <v>128</v>
      </c>
      <c r="D382" s="24"/>
      <c r="E382" s="103">
        <v>1600</v>
      </c>
      <c r="F382" s="113"/>
      <c r="G382" s="113"/>
      <c r="H382" s="39"/>
      <c r="I382" s="221"/>
    </row>
    <row r="383" spans="1:9" s="124" customFormat="1" ht="75" hidden="1" x14ac:dyDescent="0.25">
      <c r="A383" s="104"/>
      <c r="B383" s="109" t="s">
        <v>226</v>
      </c>
      <c r="C383" s="127" t="s">
        <v>321</v>
      </c>
      <c r="D383" s="24"/>
      <c r="E383" s="103">
        <v>4000</v>
      </c>
      <c r="F383" s="113"/>
      <c r="G383" s="113"/>
      <c r="H383" s="39"/>
      <c r="I383" s="221"/>
    </row>
    <row r="384" spans="1:9" s="124" customFormat="1" ht="45" hidden="1" x14ac:dyDescent="0.25">
      <c r="A384" s="104"/>
      <c r="B384" s="109" t="s">
        <v>226</v>
      </c>
      <c r="C384" s="32" t="s">
        <v>218</v>
      </c>
      <c r="D384" s="24"/>
      <c r="E384" s="103">
        <v>800</v>
      </c>
      <c r="F384" s="113"/>
      <c r="G384" s="113"/>
      <c r="H384" s="39"/>
      <c r="I384" s="221"/>
    </row>
    <row r="385" spans="1:9" s="124" customFormat="1" ht="45" hidden="1" x14ac:dyDescent="0.25">
      <c r="A385" s="104"/>
      <c r="B385" s="109" t="s">
        <v>226</v>
      </c>
      <c r="C385" s="32" t="s">
        <v>322</v>
      </c>
      <c r="D385" s="24"/>
      <c r="E385" s="103">
        <v>250</v>
      </c>
      <c r="F385" s="113"/>
      <c r="G385" s="113"/>
      <c r="H385" s="39"/>
      <c r="I385" s="221"/>
    </row>
    <row r="386" spans="1:9" s="124" customFormat="1" hidden="1" x14ac:dyDescent="0.25">
      <c r="A386" s="104"/>
      <c r="B386" s="109" t="s">
        <v>226</v>
      </c>
      <c r="C386" s="32" t="s">
        <v>130</v>
      </c>
      <c r="D386" s="24"/>
      <c r="E386" s="103">
        <v>3000</v>
      </c>
      <c r="F386" s="113"/>
      <c r="G386" s="113"/>
      <c r="H386" s="39"/>
      <c r="I386" s="221"/>
    </row>
    <row r="387" spans="1:9" s="124" customFormat="1" hidden="1" x14ac:dyDescent="0.25">
      <c r="A387" s="104"/>
      <c r="B387" s="109"/>
      <c r="C387" s="32" t="s">
        <v>132</v>
      </c>
      <c r="D387" s="24"/>
      <c r="E387" s="103">
        <v>40</v>
      </c>
      <c r="F387" s="113"/>
      <c r="G387" s="113"/>
      <c r="H387" s="39"/>
      <c r="I387" s="221"/>
    </row>
    <row r="388" spans="1:9" s="124" customFormat="1" ht="14.45" hidden="1" customHeight="1" x14ac:dyDescent="0.25">
      <c r="A388" s="104"/>
      <c r="B388" s="109"/>
      <c r="C388" s="170" t="s">
        <v>131</v>
      </c>
      <c r="D388" s="24"/>
      <c r="E388" s="103">
        <v>2000</v>
      </c>
      <c r="F388" s="113"/>
      <c r="G388" s="113"/>
      <c r="H388" s="39"/>
      <c r="I388" s="221"/>
    </row>
    <row r="389" spans="1:9" s="124" customFormat="1" ht="20.45" hidden="1" customHeight="1" x14ac:dyDescent="0.25">
      <c r="A389" s="104"/>
      <c r="B389" s="109"/>
      <c r="C389" s="32" t="s">
        <v>330</v>
      </c>
      <c r="D389" s="24"/>
      <c r="E389" s="103">
        <v>200</v>
      </c>
      <c r="F389" s="113"/>
      <c r="G389" s="113"/>
      <c r="H389" s="39"/>
      <c r="I389" s="221"/>
    </row>
    <row r="390" spans="1:9" s="124" customFormat="1" ht="19.149999999999999" hidden="1" customHeight="1" x14ac:dyDescent="0.25">
      <c r="A390" s="104"/>
      <c r="B390" s="109"/>
      <c r="C390" s="32" t="s">
        <v>127</v>
      </c>
      <c r="D390" s="24"/>
      <c r="E390" s="103">
        <v>1500</v>
      </c>
      <c r="F390" s="113"/>
      <c r="G390" s="113"/>
      <c r="H390" s="39"/>
      <c r="I390" s="221"/>
    </row>
    <row r="391" spans="1:9" s="124" customFormat="1" ht="45" hidden="1" x14ac:dyDescent="0.25">
      <c r="A391" s="104"/>
      <c r="B391" s="109"/>
      <c r="C391" s="32" t="s">
        <v>326</v>
      </c>
      <c r="D391" s="24"/>
      <c r="E391" s="103">
        <v>400</v>
      </c>
      <c r="F391" s="113"/>
      <c r="G391" s="113"/>
      <c r="H391" s="39"/>
      <c r="I391" s="221"/>
    </row>
    <row r="392" spans="1:9" s="124" customFormat="1" hidden="1" x14ac:dyDescent="0.25">
      <c r="A392" s="104"/>
      <c r="B392" s="109"/>
      <c r="C392" s="32" t="s">
        <v>137</v>
      </c>
      <c r="D392" s="24"/>
      <c r="E392" s="103">
        <v>80</v>
      </c>
      <c r="F392" s="113"/>
      <c r="G392" s="113"/>
      <c r="H392" s="39"/>
      <c r="I392" s="221"/>
    </row>
    <row r="393" spans="1:9" s="124" customFormat="1" ht="18.75" hidden="1" customHeight="1" x14ac:dyDescent="0.25">
      <c r="A393" s="104"/>
      <c r="B393" s="109"/>
      <c r="C393" s="32" t="s">
        <v>118</v>
      </c>
      <c r="D393" s="24"/>
      <c r="E393" s="103">
        <v>1200</v>
      </c>
      <c r="F393" s="113"/>
      <c r="G393" s="113"/>
      <c r="H393" s="39"/>
      <c r="I393" s="221"/>
    </row>
    <row r="394" spans="1:9" s="124" customFormat="1" hidden="1" x14ac:dyDescent="0.25">
      <c r="A394" s="104"/>
      <c r="B394" s="109"/>
      <c r="C394" s="32"/>
      <c r="D394" s="24"/>
      <c r="E394" s="103"/>
      <c r="F394" s="113"/>
      <c r="G394" s="113"/>
      <c r="H394" s="39"/>
      <c r="I394" s="221"/>
    </row>
    <row r="395" spans="1:9" s="124" customFormat="1" ht="30" hidden="1" x14ac:dyDescent="0.25">
      <c r="A395" s="104"/>
      <c r="B395" s="109"/>
      <c r="C395" s="178" t="s">
        <v>332</v>
      </c>
      <c r="D395" s="24"/>
      <c r="E395" s="103"/>
      <c r="F395" s="113"/>
      <c r="G395" s="113"/>
      <c r="H395" s="39"/>
      <c r="I395" s="221"/>
    </row>
    <row r="396" spans="1:9" s="124" customFormat="1" ht="30" hidden="1" x14ac:dyDescent="0.25">
      <c r="A396" s="104"/>
      <c r="B396" s="109"/>
      <c r="C396" s="178" t="s">
        <v>333</v>
      </c>
      <c r="D396" s="24"/>
      <c r="E396" s="103"/>
      <c r="F396" s="113"/>
      <c r="G396" s="113"/>
      <c r="H396" s="39"/>
      <c r="I396" s="221"/>
    </row>
    <row r="397" spans="1:9" s="124" customFormat="1" ht="30" hidden="1" x14ac:dyDescent="0.25">
      <c r="A397" s="104"/>
      <c r="B397" s="109"/>
      <c r="C397" s="178" t="s">
        <v>334</v>
      </c>
      <c r="D397" s="24"/>
      <c r="E397" s="103"/>
      <c r="F397" s="113"/>
      <c r="G397" s="113"/>
      <c r="H397" s="39"/>
      <c r="I397" s="221"/>
    </row>
    <row r="398" spans="1:9" s="124" customFormat="1" ht="29.25" hidden="1" x14ac:dyDescent="0.25">
      <c r="A398" s="104"/>
      <c r="B398" s="109"/>
      <c r="C398" s="102" t="s">
        <v>320</v>
      </c>
      <c r="D398" s="24"/>
      <c r="E398" s="125">
        <f>SUM(E395:E397)</f>
        <v>0</v>
      </c>
      <c r="F398" s="113"/>
      <c r="G398" s="113"/>
      <c r="H398" s="39"/>
      <c r="I398" s="221"/>
    </row>
    <row r="399" spans="1:9" s="124" customFormat="1" hidden="1" x14ac:dyDescent="0.25">
      <c r="A399" s="104"/>
      <c r="B399" s="109" t="s">
        <v>226</v>
      </c>
      <c r="C399" s="21" t="s">
        <v>198</v>
      </c>
      <c r="D399" s="24"/>
      <c r="E399" s="125">
        <f>E347</f>
        <v>41500</v>
      </c>
      <c r="F399" s="113"/>
      <c r="G399" s="113"/>
      <c r="H399" s="39"/>
      <c r="I399" s="221"/>
    </row>
    <row r="400" spans="1:9" s="124" customFormat="1" ht="23.25" hidden="1" customHeight="1" x14ac:dyDescent="0.25">
      <c r="A400" s="104"/>
      <c r="B400" s="109" t="s">
        <v>226</v>
      </c>
      <c r="C400" s="21" t="s">
        <v>200</v>
      </c>
      <c r="D400" s="24"/>
      <c r="E400" s="125">
        <f>E354</f>
        <v>1088</v>
      </c>
      <c r="F400" s="113"/>
      <c r="G400" s="113"/>
      <c r="H400" s="39"/>
      <c r="I400" s="221"/>
    </row>
    <row r="401" spans="1:9" s="124" customFormat="1" ht="29.25" hidden="1" x14ac:dyDescent="0.25">
      <c r="A401" s="104"/>
      <c r="B401" s="109" t="s">
        <v>226</v>
      </c>
      <c r="C401" s="21" t="s">
        <v>201</v>
      </c>
      <c r="D401" s="24"/>
      <c r="E401" s="125">
        <f>E356</f>
        <v>0</v>
      </c>
      <c r="F401" s="113"/>
      <c r="G401" s="113"/>
      <c r="H401" s="39"/>
      <c r="I401" s="221"/>
    </row>
    <row r="402" spans="1:9" s="124" customFormat="1" hidden="1" x14ac:dyDescent="0.25">
      <c r="A402" s="104"/>
      <c r="B402" s="109" t="s">
        <v>226</v>
      </c>
      <c r="C402" s="22" t="s">
        <v>109</v>
      </c>
      <c r="D402" s="24"/>
      <c r="E402" s="125">
        <f>E399+E400*2.9+E401</f>
        <v>44655.199999999997</v>
      </c>
      <c r="F402" s="113"/>
      <c r="G402" s="113"/>
      <c r="H402" s="39"/>
      <c r="I402" s="221"/>
    </row>
    <row r="403" spans="1:9" s="124" customFormat="1" ht="15.75" hidden="1" customHeight="1" x14ac:dyDescent="0.25">
      <c r="A403" s="104">
        <v>1</v>
      </c>
      <c r="B403" s="109" t="s">
        <v>226</v>
      </c>
      <c r="C403" s="30" t="s">
        <v>7</v>
      </c>
      <c r="D403" s="24"/>
      <c r="E403" s="223"/>
      <c r="F403" s="113"/>
      <c r="G403" s="113"/>
      <c r="H403" s="39"/>
      <c r="I403" s="221"/>
    </row>
    <row r="404" spans="1:9" s="124" customFormat="1" ht="18.75" hidden="1" customHeight="1" x14ac:dyDescent="0.25">
      <c r="A404" s="104">
        <v>1</v>
      </c>
      <c r="B404" s="109" t="s">
        <v>226</v>
      </c>
      <c r="C404" s="40" t="s">
        <v>91</v>
      </c>
      <c r="D404" s="24"/>
      <c r="E404" s="223"/>
      <c r="F404" s="113"/>
      <c r="G404" s="224"/>
      <c r="H404" s="225"/>
      <c r="I404" s="221"/>
    </row>
    <row r="405" spans="1:9" s="124" customFormat="1" ht="15.75" hidden="1" customHeight="1" x14ac:dyDescent="0.25">
      <c r="A405" s="104">
        <v>1</v>
      </c>
      <c r="B405" s="109" t="s">
        <v>226</v>
      </c>
      <c r="C405" s="32" t="s">
        <v>84</v>
      </c>
      <c r="D405" s="24">
        <v>330</v>
      </c>
      <c r="E405" s="223">
        <v>1100</v>
      </c>
      <c r="F405" s="226">
        <v>9.5</v>
      </c>
      <c r="G405" s="2">
        <f>ROUND(H405/D405,0)</f>
        <v>32</v>
      </c>
      <c r="H405" s="10">
        <f>ROUND(E405*F405,0)</f>
        <v>10450</v>
      </c>
      <c r="I405" s="221"/>
    </row>
    <row r="406" spans="1:9" s="124" customFormat="1" ht="16.5" hidden="1" customHeight="1" x14ac:dyDescent="0.25">
      <c r="A406" s="104">
        <v>1</v>
      </c>
      <c r="B406" s="109" t="s">
        <v>226</v>
      </c>
      <c r="C406" s="32" t="s">
        <v>68</v>
      </c>
      <c r="D406" s="24">
        <v>330</v>
      </c>
      <c r="E406" s="223">
        <v>385</v>
      </c>
      <c r="F406" s="226">
        <v>30</v>
      </c>
      <c r="G406" s="2">
        <f>ROUND(H406/D406,0)</f>
        <v>35</v>
      </c>
      <c r="H406" s="10">
        <f>ROUND(E406*F406,0)</f>
        <v>11550</v>
      </c>
      <c r="I406" s="221"/>
    </row>
    <row r="407" spans="1:9" s="124" customFormat="1" ht="17.25" hidden="1" customHeight="1" x14ac:dyDescent="0.25">
      <c r="A407" s="104">
        <v>1</v>
      </c>
      <c r="B407" s="109" t="s">
        <v>226</v>
      </c>
      <c r="C407" s="30" t="s">
        <v>9</v>
      </c>
      <c r="D407" s="227"/>
      <c r="E407" s="228">
        <f>SUM(E405:E406)</f>
        <v>1485</v>
      </c>
      <c r="F407" s="171">
        <f>H407/E407</f>
        <v>14.814814814814815</v>
      </c>
      <c r="G407" s="229">
        <f>G405+G406</f>
        <v>67</v>
      </c>
      <c r="H407" s="229">
        <f>H405+H406</f>
        <v>22000</v>
      </c>
      <c r="I407" s="221"/>
    </row>
    <row r="408" spans="1:9" s="124" customFormat="1" ht="16.5" hidden="1" customHeight="1" x14ac:dyDescent="0.25">
      <c r="A408" s="104">
        <v>1</v>
      </c>
      <c r="B408" s="109" t="s">
        <v>226</v>
      </c>
      <c r="C408" s="40" t="s">
        <v>18</v>
      </c>
      <c r="D408" s="24"/>
      <c r="E408" s="223"/>
      <c r="F408" s="226"/>
      <c r="G408" s="2"/>
      <c r="H408" s="10"/>
      <c r="I408" s="221"/>
    </row>
    <row r="409" spans="1:9" s="124" customFormat="1" ht="14.25" hidden="1" customHeight="1" x14ac:dyDescent="0.25">
      <c r="A409" s="104">
        <v>1</v>
      </c>
      <c r="B409" s="109" t="s">
        <v>226</v>
      </c>
      <c r="C409" s="25" t="s">
        <v>84</v>
      </c>
      <c r="D409" s="24">
        <v>240</v>
      </c>
      <c r="E409" s="223">
        <v>3040</v>
      </c>
      <c r="F409" s="226">
        <v>5.2</v>
      </c>
      <c r="G409" s="2">
        <f>ROUND(H409/D409,0)</f>
        <v>66</v>
      </c>
      <c r="H409" s="10">
        <f>ROUND(E409*F409,0)</f>
        <v>15808</v>
      </c>
      <c r="I409" s="221"/>
    </row>
    <row r="410" spans="1:9" s="124" customFormat="1" ht="14.25" hidden="1" customHeight="1" x14ac:dyDescent="0.25">
      <c r="A410" s="104">
        <v>1</v>
      </c>
      <c r="B410" s="109" t="s">
        <v>226</v>
      </c>
      <c r="C410" s="25" t="s">
        <v>77</v>
      </c>
      <c r="D410" s="138">
        <v>240</v>
      </c>
      <c r="E410" s="223">
        <v>340</v>
      </c>
      <c r="F410" s="230">
        <v>4.4000000000000004</v>
      </c>
      <c r="G410" s="2">
        <f>ROUND(H410/D410,0)</f>
        <v>6</v>
      </c>
      <c r="H410" s="10">
        <f>ROUND(E410*F410,0)</f>
        <v>1496</v>
      </c>
      <c r="I410" s="221"/>
    </row>
    <row r="411" spans="1:9" s="124" customFormat="1" ht="18.75" hidden="1" customHeight="1" x14ac:dyDescent="0.25">
      <c r="A411" s="104">
        <v>1</v>
      </c>
      <c r="B411" s="109" t="s">
        <v>226</v>
      </c>
      <c r="C411" s="139" t="s">
        <v>92</v>
      </c>
      <c r="D411" s="24"/>
      <c r="E411" s="231">
        <f>SUM(E409:E410)</f>
        <v>3380</v>
      </c>
      <c r="F411" s="135">
        <f>H411/E411</f>
        <v>5.119526627218935</v>
      </c>
      <c r="G411" s="232">
        <f>SUM(G409:G410)</f>
        <v>72</v>
      </c>
      <c r="H411" s="232">
        <f>SUM(H409:H410)</f>
        <v>17304</v>
      </c>
      <c r="I411" s="221"/>
    </row>
    <row r="412" spans="1:9" s="124" customFormat="1" ht="15" hidden="1" customHeight="1" x14ac:dyDescent="0.25">
      <c r="A412" s="104">
        <v>1</v>
      </c>
      <c r="B412" s="109" t="s">
        <v>226</v>
      </c>
      <c r="C412" s="26" t="s">
        <v>86</v>
      </c>
      <c r="D412" s="233"/>
      <c r="E412" s="234">
        <f>E407+E411</f>
        <v>4865</v>
      </c>
      <c r="F412" s="235">
        <f>H412/E412</f>
        <v>8.0789311408016449</v>
      </c>
      <c r="G412" s="236">
        <f>G407+G411</f>
        <v>139</v>
      </c>
      <c r="H412" s="236">
        <f>H407+H411</f>
        <v>39304</v>
      </c>
      <c r="I412" s="221"/>
    </row>
    <row r="413" spans="1:9" s="124" customFormat="1" ht="9" hidden="1" customHeight="1" thickBot="1" x14ac:dyDescent="0.3">
      <c r="A413" s="104"/>
      <c r="B413" s="109" t="s">
        <v>226</v>
      </c>
      <c r="C413" s="175"/>
      <c r="D413" s="233"/>
      <c r="E413" s="237"/>
      <c r="F413" s="238"/>
      <c r="G413" s="239"/>
      <c r="H413" s="240"/>
      <c r="I413" s="221"/>
    </row>
    <row r="414" spans="1:9" s="159" customFormat="1" ht="19.5" hidden="1" customHeight="1" thickBot="1" x14ac:dyDescent="0.3">
      <c r="A414" s="104">
        <v>1</v>
      </c>
      <c r="B414" s="104"/>
      <c r="C414" s="154" t="s">
        <v>220</v>
      </c>
      <c r="D414" s="155"/>
      <c r="E414" s="185"/>
      <c r="F414" s="186"/>
      <c r="G414" s="187"/>
      <c r="H414" s="188"/>
    </row>
    <row r="415" spans="1:9" s="159" customFormat="1" ht="57.75" x14ac:dyDescent="0.25">
      <c r="A415" s="104">
        <v>1</v>
      </c>
      <c r="B415" s="104" t="s">
        <v>227</v>
      </c>
      <c r="C415" s="674" t="s">
        <v>375</v>
      </c>
      <c r="D415" s="682"/>
      <c r="E415" s="683"/>
      <c r="F415" s="682"/>
      <c r="G415" s="682"/>
      <c r="H415" s="682"/>
    </row>
    <row r="416" spans="1:9" s="159" customFormat="1" x14ac:dyDescent="0.25">
      <c r="A416" s="104">
        <v>1</v>
      </c>
      <c r="B416" s="104" t="s">
        <v>227</v>
      </c>
      <c r="C416" s="12" t="s">
        <v>96</v>
      </c>
      <c r="D416" s="24"/>
      <c r="E416" s="241"/>
      <c r="F416" s="24"/>
      <c r="G416" s="24"/>
      <c r="H416" s="24"/>
    </row>
    <row r="417" spans="1:8" s="159" customFormat="1" ht="43.5" x14ac:dyDescent="0.25">
      <c r="A417" s="104"/>
      <c r="B417" s="104" t="s">
        <v>227</v>
      </c>
      <c r="C417" s="14" t="s">
        <v>308</v>
      </c>
      <c r="D417" s="24"/>
      <c r="E417" s="242">
        <f>E418+E419+E423+E424+E425</f>
        <v>105685</v>
      </c>
      <c r="F417" s="24"/>
      <c r="G417" s="24"/>
      <c r="H417" s="24"/>
    </row>
    <row r="418" spans="1:8" s="159" customFormat="1" x14ac:dyDescent="0.25">
      <c r="A418" s="104"/>
      <c r="B418" s="104" t="s">
        <v>227</v>
      </c>
      <c r="C418" s="15" t="s">
        <v>297</v>
      </c>
      <c r="D418" s="24"/>
      <c r="E418" s="103">
        <v>18000</v>
      </c>
      <c r="F418" s="24"/>
      <c r="G418" s="24"/>
      <c r="H418" s="24"/>
    </row>
    <row r="419" spans="1:8" s="159" customFormat="1" ht="30" x14ac:dyDescent="0.25">
      <c r="A419" s="104"/>
      <c r="B419" s="104" t="s">
        <v>227</v>
      </c>
      <c r="C419" s="16" t="s">
        <v>298</v>
      </c>
      <c r="D419" s="24"/>
      <c r="E419" s="103">
        <f>E420+E421/4+E422</f>
        <v>53146</v>
      </c>
      <c r="F419" s="24"/>
      <c r="G419" s="24"/>
      <c r="H419" s="24"/>
    </row>
    <row r="420" spans="1:8" s="124" customFormat="1" x14ac:dyDescent="0.25">
      <c r="A420" s="104"/>
      <c r="B420" s="104" t="s">
        <v>227</v>
      </c>
      <c r="C420" s="15" t="s">
        <v>299</v>
      </c>
      <c r="D420" s="13"/>
      <c r="E420" s="103">
        <v>46717</v>
      </c>
      <c r="F420" s="10"/>
      <c r="G420" s="10"/>
      <c r="H420" s="10"/>
    </row>
    <row r="421" spans="1:8" s="159" customFormat="1" ht="30" x14ac:dyDescent="0.25">
      <c r="A421" s="104"/>
      <c r="B421" s="104" t="s">
        <v>227</v>
      </c>
      <c r="C421" s="15" t="s">
        <v>300</v>
      </c>
      <c r="D421" s="24"/>
      <c r="E421" s="103">
        <v>3300</v>
      </c>
      <c r="F421" s="24"/>
      <c r="G421" s="24"/>
      <c r="H421" s="24"/>
    </row>
    <row r="422" spans="1:8" s="159" customFormat="1" ht="45" x14ac:dyDescent="0.25">
      <c r="A422" s="104"/>
      <c r="B422" s="104" t="s">
        <v>227</v>
      </c>
      <c r="C422" s="15" t="s">
        <v>301</v>
      </c>
      <c r="D422" s="24"/>
      <c r="E422" s="103">
        <f>2000+3604</f>
        <v>5604</v>
      </c>
      <c r="F422" s="24"/>
      <c r="G422" s="24"/>
      <c r="H422" s="24"/>
    </row>
    <row r="423" spans="1:8" s="159" customFormat="1" ht="60" x14ac:dyDescent="0.25">
      <c r="A423" s="104"/>
      <c r="B423" s="104" t="s">
        <v>227</v>
      </c>
      <c r="C423" s="15" t="s">
        <v>309</v>
      </c>
      <c r="D423" s="24"/>
      <c r="E423" s="103">
        <v>3002</v>
      </c>
      <c r="F423" s="24"/>
      <c r="G423" s="24"/>
      <c r="H423" s="24"/>
    </row>
    <row r="424" spans="1:8" s="159" customFormat="1" ht="45" x14ac:dyDescent="0.25">
      <c r="A424" s="104"/>
      <c r="B424" s="104" t="s">
        <v>227</v>
      </c>
      <c r="C424" s="18" t="s">
        <v>310</v>
      </c>
      <c r="D424" s="24"/>
      <c r="E424" s="103">
        <v>17037</v>
      </c>
      <c r="F424" s="24"/>
      <c r="G424" s="24"/>
      <c r="H424" s="24"/>
    </row>
    <row r="425" spans="1:8" s="159" customFormat="1" ht="75" x14ac:dyDescent="0.25">
      <c r="A425" s="104"/>
      <c r="B425" s="104"/>
      <c r="C425" s="18" t="s">
        <v>354</v>
      </c>
      <c r="D425" s="24"/>
      <c r="E425" s="103">
        <v>14500</v>
      </c>
      <c r="F425" s="24"/>
      <c r="G425" s="24"/>
      <c r="H425" s="24"/>
    </row>
    <row r="426" spans="1:8" s="159" customFormat="1" ht="105" x14ac:dyDescent="0.25">
      <c r="A426" s="104"/>
      <c r="B426" s="104"/>
      <c r="C426" s="18" t="s">
        <v>351</v>
      </c>
      <c r="D426" s="24"/>
      <c r="E426" s="103">
        <v>1500</v>
      </c>
      <c r="F426" s="24"/>
      <c r="G426" s="24"/>
      <c r="H426" s="24"/>
    </row>
    <row r="427" spans="1:8" s="159" customFormat="1" ht="27.75" customHeight="1" x14ac:dyDescent="0.25">
      <c r="A427" s="104">
        <v>1</v>
      </c>
      <c r="B427" s="104" t="s">
        <v>227</v>
      </c>
      <c r="C427" s="14" t="s">
        <v>313</v>
      </c>
      <c r="D427" s="24"/>
      <c r="E427" s="125">
        <f>E428+E429</f>
        <v>44599.851063829788</v>
      </c>
      <c r="F427" s="24"/>
      <c r="G427" s="24"/>
      <c r="H427" s="24"/>
    </row>
    <row r="428" spans="1:8" s="159" customFormat="1" x14ac:dyDescent="0.25">
      <c r="A428" s="104"/>
      <c r="B428" s="104" t="s">
        <v>227</v>
      </c>
      <c r="C428" s="14" t="s">
        <v>304</v>
      </c>
      <c r="D428" s="24"/>
      <c r="E428" s="103">
        <v>39419</v>
      </c>
      <c r="F428" s="24"/>
      <c r="G428" s="24"/>
      <c r="H428" s="24"/>
    </row>
    <row r="429" spans="1:8" s="159" customFormat="1" x14ac:dyDescent="0.25">
      <c r="A429" s="104"/>
      <c r="B429" s="104" t="s">
        <v>227</v>
      </c>
      <c r="C429" s="15" t="s">
        <v>305</v>
      </c>
      <c r="D429" s="24"/>
      <c r="E429" s="103">
        <f>E430/9.4</f>
        <v>5180.8510638297867</v>
      </c>
      <c r="F429" s="24"/>
      <c r="G429" s="24"/>
      <c r="H429" s="24"/>
    </row>
    <row r="430" spans="1:8" s="159" customFormat="1" x14ac:dyDescent="0.25">
      <c r="A430" s="104"/>
      <c r="B430" s="104" t="s">
        <v>227</v>
      </c>
      <c r="C430" s="243" t="s">
        <v>314</v>
      </c>
      <c r="D430" s="24"/>
      <c r="E430" s="103">
        <v>48700</v>
      </c>
      <c r="F430" s="24"/>
      <c r="G430" s="24"/>
      <c r="H430" s="24"/>
    </row>
    <row r="431" spans="1:8" s="159" customFormat="1" ht="29.25" x14ac:dyDescent="0.25">
      <c r="A431" s="104">
        <v>1</v>
      </c>
      <c r="B431" s="104" t="s">
        <v>227</v>
      </c>
      <c r="C431" s="14" t="s">
        <v>315</v>
      </c>
      <c r="D431" s="24"/>
      <c r="E431" s="103"/>
      <c r="F431" s="24"/>
      <c r="G431" s="24"/>
      <c r="H431" s="24"/>
    </row>
    <row r="432" spans="1:8" s="159" customFormat="1" ht="30" x14ac:dyDescent="0.25">
      <c r="A432" s="104">
        <v>1</v>
      </c>
      <c r="B432" s="104" t="s">
        <v>227</v>
      </c>
      <c r="C432" s="19" t="s">
        <v>115</v>
      </c>
      <c r="D432" s="24"/>
      <c r="E432" s="103"/>
      <c r="F432" s="24"/>
      <c r="G432" s="24"/>
      <c r="H432" s="24"/>
    </row>
    <row r="433" spans="1:8" s="159" customFormat="1" ht="57.75" x14ac:dyDescent="0.25">
      <c r="A433" s="104">
        <v>1</v>
      </c>
      <c r="B433" s="104" t="s">
        <v>227</v>
      </c>
      <c r="C433" s="14" t="s">
        <v>307</v>
      </c>
      <c r="D433" s="24"/>
      <c r="E433" s="103"/>
      <c r="F433" s="24"/>
      <c r="G433" s="24"/>
      <c r="H433" s="24"/>
    </row>
    <row r="434" spans="1:8" s="159" customFormat="1" ht="15.75" x14ac:dyDescent="0.25">
      <c r="A434" s="104">
        <v>1</v>
      </c>
      <c r="B434" s="104" t="s">
        <v>227</v>
      </c>
      <c r="C434" s="204" t="s">
        <v>158</v>
      </c>
      <c r="D434" s="24"/>
      <c r="E434" s="128">
        <f>SUM(E435:E474)</f>
        <v>591927</v>
      </c>
      <c r="F434" s="24"/>
      <c r="G434" s="24"/>
      <c r="H434" s="24"/>
    </row>
    <row r="435" spans="1:8" s="159" customFormat="1" ht="30" x14ac:dyDescent="0.25">
      <c r="A435" s="104">
        <v>1</v>
      </c>
      <c r="B435" s="104" t="s">
        <v>227</v>
      </c>
      <c r="C435" s="32" t="s">
        <v>123</v>
      </c>
      <c r="D435" s="24"/>
      <c r="E435" s="103">
        <f>155000+4230</f>
        <v>159230</v>
      </c>
      <c r="F435" s="24"/>
      <c r="G435" s="24"/>
      <c r="H435" s="24"/>
    </row>
    <row r="436" spans="1:8" s="159" customFormat="1" ht="30" x14ac:dyDescent="0.25">
      <c r="A436" s="104">
        <v>1</v>
      </c>
      <c r="B436" s="104" t="s">
        <v>227</v>
      </c>
      <c r="C436" s="35" t="s">
        <v>124</v>
      </c>
      <c r="D436" s="24"/>
      <c r="E436" s="103">
        <f>7500+500</f>
        <v>8000</v>
      </c>
      <c r="F436" s="24"/>
      <c r="G436" s="24"/>
      <c r="H436" s="24"/>
    </row>
    <row r="437" spans="1:8" s="159" customFormat="1" x14ac:dyDescent="0.25">
      <c r="A437" s="104"/>
      <c r="B437" s="104"/>
      <c r="C437" s="35" t="s">
        <v>133</v>
      </c>
      <c r="D437" s="24"/>
      <c r="E437" s="103">
        <v>250</v>
      </c>
      <c r="F437" s="24"/>
      <c r="G437" s="24"/>
      <c r="H437" s="24"/>
    </row>
    <row r="438" spans="1:8" s="159" customFormat="1" x14ac:dyDescent="0.25">
      <c r="A438" s="104">
        <v>1</v>
      </c>
      <c r="B438" s="104" t="s">
        <v>227</v>
      </c>
      <c r="C438" s="35" t="s">
        <v>166</v>
      </c>
      <c r="D438" s="24"/>
      <c r="E438" s="103">
        <v>3100</v>
      </c>
      <c r="F438" s="24"/>
      <c r="G438" s="24"/>
      <c r="H438" s="24"/>
    </row>
    <row r="439" spans="1:8" s="159" customFormat="1" ht="30" x14ac:dyDescent="0.25">
      <c r="A439" s="104">
        <v>1</v>
      </c>
      <c r="B439" s="104" t="s">
        <v>227</v>
      </c>
      <c r="C439" s="35" t="s">
        <v>348</v>
      </c>
      <c r="D439" s="24"/>
      <c r="E439" s="103">
        <v>105</v>
      </c>
      <c r="F439" s="24"/>
      <c r="G439" s="24"/>
      <c r="H439" s="24"/>
    </row>
    <row r="440" spans="1:8" s="159" customFormat="1" ht="45" x14ac:dyDescent="0.25">
      <c r="A440" s="104">
        <v>1</v>
      </c>
      <c r="B440" s="104" t="s">
        <v>227</v>
      </c>
      <c r="C440" s="35" t="s">
        <v>134</v>
      </c>
      <c r="D440" s="24"/>
      <c r="E440" s="103">
        <v>34000</v>
      </c>
      <c r="F440" s="24"/>
      <c r="G440" s="24" t="s">
        <v>343</v>
      </c>
      <c r="H440" s="24"/>
    </row>
    <row r="441" spans="1:8" s="159" customFormat="1" x14ac:dyDescent="0.25">
      <c r="A441" s="104"/>
      <c r="B441" s="104"/>
      <c r="C441" s="35" t="s">
        <v>140</v>
      </c>
      <c r="D441" s="24"/>
      <c r="E441" s="103">
        <v>20</v>
      </c>
      <c r="F441" s="24"/>
      <c r="G441" s="24"/>
      <c r="H441" s="24"/>
    </row>
    <row r="442" spans="1:8" s="159" customFormat="1" ht="38.25" customHeight="1" x14ac:dyDescent="0.25">
      <c r="A442" s="104">
        <v>1</v>
      </c>
      <c r="B442" s="104" t="s">
        <v>227</v>
      </c>
      <c r="C442" s="35" t="s">
        <v>341</v>
      </c>
      <c r="D442" s="24"/>
      <c r="E442" s="103"/>
      <c r="F442" s="24"/>
      <c r="G442" s="24"/>
      <c r="H442" s="24"/>
    </row>
    <row r="443" spans="1:8" s="159" customFormat="1" x14ac:dyDescent="0.25">
      <c r="A443" s="104">
        <v>1</v>
      </c>
      <c r="B443" s="104" t="s">
        <v>227</v>
      </c>
      <c r="C443" s="35" t="s">
        <v>53</v>
      </c>
      <c r="D443" s="24"/>
      <c r="E443" s="103">
        <f>15600+700</f>
        <v>16300</v>
      </c>
      <c r="F443" s="24"/>
      <c r="G443" s="24"/>
      <c r="H443" s="24"/>
    </row>
    <row r="444" spans="1:8" s="159" customFormat="1" ht="14.25" customHeight="1" x14ac:dyDescent="0.25">
      <c r="A444" s="104">
        <v>1</v>
      </c>
      <c r="B444" s="104" t="s">
        <v>227</v>
      </c>
      <c r="C444" s="208" t="s">
        <v>17</v>
      </c>
      <c r="D444" s="24"/>
      <c r="E444" s="103">
        <v>6345</v>
      </c>
      <c r="F444" s="24"/>
      <c r="G444" s="24"/>
      <c r="H444" s="24"/>
    </row>
    <row r="445" spans="1:8" s="159" customFormat="1" ht="30" x14ac:dyDescent="0.25">
      <c r="A445" s="104">
        <v>1</v>
      </c>
      <c r="B445" s="104" t="s">
        <v>227</v>
      </c>
      <c r="C445" s="127" t="s">
        <v>139</v>
      </c>
      <c r="D445" s="24"/>
      <c r="E445" s="103">
        <v>3450</v>
      </c>
      <c r="F445" s="24"/>
      <c r="G445" s="24"/>
      <c r="H445" s="24"/>
    </row>
    <row r="446" spans="1:8" s="159" customFormat="1" ht="26.25" customHeight="1" x14ac:dyDescent="0.25">
      <c r="A446" s="104">
        <v>1</v>
      </c>
      <c r="B446" s="104" t="s">
        <v>227</v>
      </c>
      <c r="C446" s="35" t="s">
        <v>147</v>
      </c>
      <c r="D446" s="24"/>
      <c r="E446" s="103">
        <v>174000</v>
      </c>
      <c r="F446" s="24"/>
      <c r="G446" s="24"/>
      <c r="H446" s="24"/>
    </row>
    <row r="447" spans="1:8" s="159" customFormat="1" ht="24" customHeight="1" x14ac:dyDescent="0.25">
      <c r="A447" s="104">
        <v>1</v>
      </c>
      <c r="B447" s="104" t="s">
        <v>227</v>
      </c>
      <c r="C447" s="35" t="s">
        <v>340</v>
      </c>
      <c r="D447" s="24"/>
      <c r="E447" s="103">
        <v>100</v>
      </c>
      <c r="F447" s="24"/>
      <c r="G447" s="24"/>
      <c r="H447" s="24"/>
    </row>
    <row r="448" spans="1:8" s="159" customFormat="1" ht="33" customHeight="1" x14ac:dyDescent="0.25">
      <c r="A448" s="104">
        <v>1</v>
      </c>
      <c r="B448" s="104" t="s">
        <v>227</v>
      </c>
      <c r="C448" s="35" t="s">
        <v>126</v>
      </c>
      <c r="D448" s="24"/>
      <c r="E448" s="103">
        <v>1100</v>
      </c>
      <c r="F448" s="24"/>
      <c r="G448" s="24"/>
      <c r="H448" s="24"/>
    </row>
    <row r="449" spans="1:8" s="159" customFormat="1" ht="34.5" customHeight="1" x14ac:dyDescent="0.25">
      <c r="A449" s="104">
        <v>1</v>
      </c>
      <c r="B449" s="104" t="s">
        <v>227</v>
      </c>
      <c r="C449" s="35" t="s">
        <v>135</v>
      </c>
      <c r="D449" s="24"/>
      <c r="E449" s="103">
        <v>8900</v>
      </c>
      <c r="F449" s="24"/>
      <c r="G449" s="24"/>
      <c r="H449" s="24"/>
    </row>
    <row r="450" spans="1:8" s="159" customFormat="1" ht="54" customHeight="1" x14ac:dyDescent="0.25">
      <c r="A450" s="104"/>
      <c r="B450" s="104" t="s">
        <v>227</v>
      </c>
      <c r="C450" s="25" t="s">
        <v>282</v>
      </c>
      <c r="D450" s="24"/>
      <c r="E450" s="103">
        <v>45578</v>
      </c>
      <c r="F450" s="24"/>
      <c r="G450" s="24"/>
      <c r="H450" s="24"/>
    </row>
    <row r="451" spans="1:8" s="159" customFormat="1" ht="60" x14ac:dyDescent="0.25">
      <c r="A451" s="104">
        <v>1</v>
      </c>
      <c r="B451" s="104" t="s">
        <v>227</v>
      </c>
      <c r="C451" s="35" t="s">
        <v>288</v>
      </c>
      <c r="D451" s="24"/>
      <c r="E451" s="103">
        <v>1600</v>
      </c>
      <c r="F451" s="24"/>
      <c r="G451" s="24"/>
      <c r="H451" s="24"/>
    </row>
    <row r="452" spans="1:8" s="159" customFormat="1" ht="75" x14ac:dyDescent="0.25">
      <c r="A452" s="104">
        <v>1</v>
      </c>
      <c r="B452" s="104" t="s">
        <v>227</v>
      </c>
      <c r="C452" s="35" t="s">
        <v>321</v>
      </c>
      <c r="D452" s="24"/>
      <c r="E452" s="103">
        <v>3900</v>
      </c>
      <c r="F452" s="24"/>
      <c r="G452" s="24"/>
      <c r="H452" s="24"/>
    </row>
    <row r="453" spans="1:8" s="159" customFormat="1" ht="30" customHeight="1" x14ac:dyDescent="0.25">
      <c r="A453" s="104">
        <v>1</v>
      </c>
      <c r="B453" s="104" t="s">
        <v>227</v>
      </c>
      <c r="C453" s="35" t="s">
        <v>93</v>
      </c>
      <c r="D453" s="24"/>
      <c r="E453" s="103">
        <v>729</v>
      </c>
      <c r="F453" s="24"/>
      <c r="G453" s="24"/>
      <c r="H453" s="24"/>
    </row>
    <row r="454" spans="1:8" s="159" customFormat="1" ht="30" customHeight="1" x14ac:dyDescent="0.25">
      <c r="A454" s="104"/>
      <c r="B454" s="104"/>
      <c r="C454" s="32" t="s">
        <v>146</v>
      </c>
      <c r="D454" s="24"/>
      <c r="E454" s="103">
        <v>150</v>
      </c>
      <c r="F454" s="24"/>
      <c r="G454" s="24"/>
      <c r="H454" s="24"/>
    </row>
    <row r="455" spans="1:8" s="159" customFormat="1" ht="30" customHeight="1" x14ac:dyDescent="0.25">
      <c r="A455" s="104"/>
      <c r="B455" s="104"/>
      <c r="C455" s="35" t="s">
        <v>98</v>
      </c>
      <c r="D455" s="24"/>
      <c r="E455" s="103">
        <v>5200</v>
      </c>
      <c r="F455" s="24"/>
      <c r="G455" s="24"/>
      <c r="H455" s="24"/>
    </row>
    <row r="456" spans="1:8" s="159" customFormat="1" ht="30" customHeight="1" x14ac:dyDescent="0.25">
      <c r="A456" s="104">
        <v>1</v>
      </c>
      <c r="B456" s="104" t="s">
        <v>227</v>
      </c>
      <c r="C456" s="35" t="s">
        <v>50</v>
      </c>
      <c r="D456" s="24"/>
      <c r="E456" s="103">
        <v>18801</v>
      </c>
      <c r="F456" s="24"/>
      <c r="G456" s="24"/>
      <c r="H456" s="24"/>
    </row>
    <row r="457" spans="1:8" s="159" customFormat="1" ht="30" customHeight="1" x14ac:dyDescent="0.25">
      <c r="A457" s="104"/>
      <c r="B457" s="104"/>
      <c r="C457" s="35" t="s">
        <v>284</v>
      </c>
      <c r="D457" s="24"/>
      <c r="E457" s="103">
        <v>100</v>
      </c>
      <c r="F457" s="24"/>
      <c r="G457" s="24"/>
      <c r="H457" s="24"/>
    </row>
    <row r="458" spans="1:8" s="159" customFormat="1" ht="22.5" customHeight="1" x14ac:dyDescent="0.25">
      <c r="A458" s="104"/>
      <c r="B458" s="104" t="s">
        <v>227</v>
      </c>
      <c r="C458" s="35" t="s">
        <v>136</v>
      </c>
      <c r="D458" s="24"/>
      <c r="E458" s="103">
        <v>8400</v>
      </c>
      <c r="F458" s="24"/>
      <c r="G458" s="24"/>
      <c r="H458" s="24"/>
    </row>
    <row r="459" spans="1:8" s="159" customFormat="1" x14ac:dyDescent="0.25">
      <c r="A459" s="104"/>
      <c r="B459" s="104" t="s">
        <v>227</v>
      </c>
      <c r="C459" s="35" t="s">
        <v>330</v>
      </c>
      <c r="D459" s="24"/>
      <c r="E459" s="103">
        <v>160</v>
      </c>
      <c r="F459" s="24"/>
      <c r="G459" s="24"/>
      <c r="H459" s="24"/>
    </row>
    <row r="460" spans="1:8" s="159" customFormat="1" ht="18.75" customHeight="1" x14ac:dyDescent="0.25">
      <c r="A460" s="104">
        <v>1</v>
      </c>
      <c r="B460" s="104" t="s">
        <v>227</v>
      </c>
      <c r="C460" s="35" t="s">
        <v>54</v>
      </c>
      <c r="D460" s="24"/>
      <c r="E460" s="103">
        <v>735</v>
      </c>
      <c r="F460" s="24"/>
      <c r="G460" s="24"/>
      <c r="H460" s="24"/>
    </row>
    <row r="461" spans="1:8" s="159" customFormat="1" x14ac:dyDescent="0.25">
      <c r="A461" s="104">
        <v>1</v>
      </c>
      <c r="B461" s="104" t="s">
        <v>227</v>
      </c>
      <c r="C461" s="208" t="s">
        <v>52</v>
      </c>
      <c r="D461" s="24"/>
      <c r="E461" s="103">
        <v>1000</v>
      </c>
      <c r="F461" s="24"/>
      <c r="G461" s="24"/>
      <c r="H461" s="24"/>
    </row>
    <row r="462" spans="1:8" s="159" customFormat="1" ht="30" x14ac:dyDescent="0.25">
      <c r="A462" s="104">
        <v>1</v>
      </c>
      <c r="B462" s="104" t="s">
        <v>227</v>
      </c>
      <c r="C462" s="35" t="s">
        <v>148</v>
      </c>
      <c r="D462" s="24"/>
      <c r="E462" s="103">
        <v>550</v>
      </c>
      <c r="F462" s="24"/>
      <c r="G462" s="24"/>
      <c r="H462" s="24"/>
    </row>
    <row r="463" spans="1:8" s="159" customFormat="1" x14ac:dyDescent="0.25">
      <c r="A463" s="104">
        <v>1</v>
      </c>
      <c r="B463" s="104" t="s">
        <v>227</v>
      </c>
      <c r="C463" s="127" t="s">
        <v>182</v>
      </c>
      <c r="D463" s="24"/>
      <c r="E463" s="103">
        <v>38000</v>
      </c>
      <c r="F463" s="24"/>
      <c r="G463" s="24"/>
      <c r="H463" s="24"/>
    </row>
    <row r="464" spans="1:8" s="159" customFormat="1" ht="30" x14ac:dyDescent="0.25">
      <c r="A464" s="104">
        <v>1</v>
      </c>
      <c r="B464" s="104" t="s">
        <v>227</v>
      </c>
      <c r="C464" s="35" t="s">
        <v>203</v>
      </c>
      <c r="D464" s="24"/>
      <c r="E464" s="103">
        <v>4000</v>
      </c>
      <c r="F464" s="24"/>
      <c r="G464" s="24"/>
      <c r="H464" s="24"/>
    </row>
    <row r="465" spans="1:8" s="159" customFormat="1" ht="30" x14ac:dyDescent="0.25">
      <c r="A465" s="104">
        <v>1</v>
      </c>
      <c r="B465" s="104" t="s">
        <v>227</v>
      </c>
      <c r="C465" s="35" t="s">
        <v>202</v>
      </c>
      <c r="D465" s="24"/>
      <c r="E465" s="103">
        <v>2000</v>
      </c>
      <c r="F465" s="24"/>
      <c r="G465" s="24"/>
      <c r="H465" s="24"/>
    </row>
    <row r="466" spans="1:8" s="159" customFormat="1" x14ac:dyDescent="0.25">
      <c r="A466" s="104">
        <v>1</v>
      </c>
      <c r="B466" s="104" t="s">
        <v>227</v>
      </c>
      <c r="C466" s="35" t="s">
        <v>137</v>
      </c>
      <c r="D466" s="24"/>
      <c r="E466" s="103">
        <v>204</v>
      </c>
      <c r="F466" s="24"/>
      <c r="G466" s="24"/>
      <c r="H466" s="24"/>
    </row>
    <row r="467" spans="1:8" s="159" customFormat="1" x14ac:dyDescent="0.25">
      <c r="A467" s="104">
        <v>1</v>
      </c>
      <c r="B467" s="104" t="s">
        <v>227</v>
      </c>
      <c r="C467" s="35" t="s">
        <v>31</v>
      </c>
      <c r="D467" s="24"/>
      <c r="E467" s="103">
        <v>10500</v>
      </c>
      <c r="F467" s="24"/>
      <c r="G467" s="24"/>
      <c r="H467" s="24"/>
    </row>
    <row r="468" spans="1:8" s="159" customFormat="1" x14ac:dyDescent="0.25">
      <c r="A468" s="104">
        <v>1</v>
      </c>
      <c r="B468" s="104" t="s">
        <v>227</v>
      </c>
      <c r="C468" s="35" t="s">
        <v>15</v>
      </c>
      <c r="D468" s="24"/>
      <c r="E468" s="103">
        <v>1100</v>
      </c>
      <c r="F468" s="24"/>
      <c r="G468" s="24"/>
      <c r="H468" s="24"/>
    </row>
    <row r="469" spans="1:8" s="159" customFormat="1" x14ac:dyDescent="0.25">
      <c r="A469" s="104">
        <v>1</v>
      </c>
      <c r="B469" s="104" t="s">
        <v>227</v>
      </c>
      <c r="C469" s="35" t="s">
        <v>27</v>
      </c>
      <c r="D469" s="24"/>
      <c r="E469" s="103">
        <v>9800</v>
      </c>
      <c r="F469" s="24"/>
      <c r="G469" s="24"/>
      <c r="H469" s="24"/>
    </row>
    <row r="470" spans="1:8" s="159" customFormat="1" x14ac:dyDescent="0.25">
      <c r="A470" s="104"/>
      <c r="B470" s="104"/>
      <c r="C470" s="35" t="s">
        <v>51</v>
      </c>
      <c r="D470" s="24"/>
      <c r="E470" s="103">
        <v>11200</v>
      </c>
      <c r="F470" s="24"/>
      <c r="G470" s="24"/>
      <c r="H470" s="24"/>
    </row>
    <row r="471" spans="1:8" s="159" customFormat="1" ht="18" customHeight="1" x14ac:dyDescent="0.25">
      <c r="A471" s="104">
        <v>1</v>
      </c>
      <c r="B471" s="104" t="s">
        <v>227</v>
      </c>
      <c r="C471" s="35" t="s">
        <v>138</v>
      </c>
      <c r="D471" s="24"/>
      <c r="E471" s="103">
        <v>1500</v>
      </c>
      <c r="F471" s="24"/>
      <c r="G471" s="24"/>
      <c r="H471" s="24"/>
    </row>
    <row r="472" spans="1:8" s="159" customFormat="1" ht="19.149999999999999" customHeight="1" x14ac:dyDescent="0.25">
      <c r="A472" s="104"/>
      <c r="B472" s="104"/>
      <c r="C472" s="35" t="s">
        <v>121</v>
      </c>
      <c r="D472" s="24"/>
      <c r="E472" s="103">
        <v>930</v>
      </c>
      <c r="F472" s="24"/>
      <c r="G472" s="24"/>
      <c r="H472" s="24"/>
    </row>
    <row r="473" spans="1:8" s="159" customFormat="1" x14ac:dyDescent="0.25">
      <c r="A473" s="104"/>
      <c r="B473" s="104"/>
      <c r="C473" s="35" t="s">
        <v>97</v>
      </c>
      <c r="D473" s="24"/>
      <c r="E473" s="103">
        <v>790</v>
      </c>
      <c r="F473" s="24"/>
      <c r="G473" s="24"/>
      <c r="H473" s="24"/>
    </row>
    <row r="474" spans="1:8" s="159" customFormat="1" ht="34.5" customHeight="1" x14ac:dyDescent="0.25">
      <c r="A474" s="104"/>
      <c r="B474" s="104"/>
      <c r="C474" s="35" t="s">
        <v>118</v>
      </c>
      <c r="D474" s="24"/>
      <c r="E474" s="103">
        <v>10100</v>
      </c>
      <c r="F474" s="24"/>
      <c r="G474" s="24"/>
      <c r="H474" s="24"/>
    </row>
    <row r="475" spans="1:8" s="159" customFormat="1" ht="75" x14ac:dyDescent="0.25">
      <c r="A475" s="104"/>
      <c r="B475" s="104"/>
      <c r="C475" s="215" t="s">
        <v>336</v>
      </c>
      <c r="D475" s="24"/>
      <c r="E475" s="103"/>
      <c r="F475" s="24"/>
      <c r="G475" s="24"/>
      <c r="H475" s="24"/>
    </row>
    <row r="476" spans="1:8" s="159" customFormat="1" ht="75" x14ac:dyDescent="0.25">
      <c r="A476" s="104"/>
      <c r="B476" s="104"/>
      <c r="C476" s="197" t="s">
        <v>291</v>
      </c>
      <c r="D476" s="24"/>
      <c r="E476" s="103"/>
      <c r="F476" s="24"/>
      <c r="G476" s="24"/>
      <c r="H476" s="24"/>
    </row>
    <row r="477" spans="1:8" s="159" customFormat="1" ht="18" customHeight="1" x14ac:dyDescent="0.25">
      <c r="A477" s="104"/>
      <c r="B477" s="104" t="s">
        <v>227</v>
      </c>
      <c r="C477" s="21" t="s">
        <v>198</v>
      </c>
      <c r="D477" s="24"/>
      <c r="E477" s="244">
        <f>E417</f>
        <v>105685</v>
      </c>
      <c r="F477" s="24"/>
      <c r="G477" s="24"/>
      <c r="H477" s="24"/>
    </row>
    <row r="478" spans="1:8" s="159" customFormat="1" ht="18" customHeight="1" x14ac:dyDescent="0.25">
      <c r="A478" s="104"/>
      <c r="B478" s="104" t="s">
        <v>227</v>
      </c>
      <c r="C478" s="21" t="s">
        <v>200</v>
      </c>
      <c r="D478" s="24"/>
      <c r="E478" s="245">
        <f>E427</f>
        <v>44599.851063829788</v>
      </c>
      <c r="F478" s="24"/>
      <c r="G478" s="24"/>
      <c r="H478" s="24"/>
    </row>
    <row r="479" spans="1:8" s="159" customFormat="1" ht="29.25" x14ac:dyDescent="0.25">
      <c r="A479" s="104"/>
      <c r="B479" s="104" t="s">
        <v>227</v>
      </c>
      <c r="C479" s="21" t="s">
        <v>201</v>
      </c>
      <c r="D479" s="24"/>
      <c r="E479" s="245">
        <f>E431</f>
        <v>0</v>
      </c>
      <c r="F479" s="24"/>
      <c r="G479" s="24"/>
      <c r="H479" s="24"/>
    </row>
    <row r="480" spans="1:8" s="159" customFormat="1" ht="18" customHeight="1" x14ac:dyDescent="0.25">
      <c r="A480" s="104"/>
      <c r="B480" s="104" t="s">
        <v>227</v>
      </c>
      <c r="C480" s="22" t="s">
        <v>109</v>
      </c>
      <c r="D480" s="24"/>
      <c r="E480" s="244">
        <f>E477+E430/4.2+E428*2.9</f>
        <v>231595.33809523808</v>
      </c>
      <c r="F480" s="24"/>
      <c r="G480" s="24"/>
      <c r="H480" s="24"/>
    </row>
    <row r="481" spans="1:8" s="159" customFormat="1" x14ac:dyDescent="0.25">
      <c r="A481" s="104">
        <v>1</v>
      </c>
      <c r="B481" s="104" t="s">
        <v>227</v>
      </c>
      <c r="C481" s="30" t="s">
        <v>7</v>
      </c>
      <c r="D481" s="24"/>
      <c r="E481" s="246"/>
      <c r="F481" s="24"/>
      <c r="G481" s="24"/>
      <c r="H481" s="24"/>
    </row>
    <row r="482" spans="1:8" s="159" customFormat="1" x14ac:dyDescent="0.25">
      <c r="A482" s="104">
        <v>1</v>
      </c>
      <c r="B482" s="104" t="s">
        <v>227</v>
      </c>
      <c r="C482" s="40" t="s">
        <v>18</v>
      </c>
      <c r="D482" s="24"/>
      <c r="E482" s="246"/>
      <c r="F482" s="24"/>
      <c r="G482" s="24"/>
      <c r="H482" s="24"/>
    </row>
    <row r="483" spans="1:8" s="159" customFormat="1" x14ac:dyDescent="0.25">
      <c r="A483" s="104">
        <v>1</v>
      </c>
      <c r="B483" s="104" t="s">
        <v>227</v>
      </c>
      <c r="C483" s="25" t="s">
        <v>35</v>
      </c>
      <c r="D483" s="24">
        <v>247</v>
      </c>
      <c r="E483" s="247">
        <v>952</v>
      </c>
      <c r="F483" s="226">
        <v>8</v>
      </c>
      <c r="G483" s="2">
        <f>ROUND(H483/D483,0)</f>
        <v>31</v>
      </c>
      <c r="H483" s="10">
        <f>ROUND(E483*F483,0)</f>
        <v>7616</v>
      </c>
    </row>
    <row r="484" spans="1:8" s="159" customFormat="1" x14ac:dyDescent="0.25">
      <c r="A484" s="104">
        <v>1</v>
      </c>
      <c r="B484" s="104" t="s">
        <v>227</v>
      </c>
      <c r="C484" s="25" t="s">
        <v>10</v>
      </c>
      <c r="D484" s="24">
        <v>247</v>
      </c>
      <c r="E484" s="247">
        <v>1645</v>
      </c>
      <c r="F484" s="230">
        <v>5</v>
      </c>
      <c r="G484" s="2">
        <f>ROUND(H484/D484,0)</f>
        <v>33</v>
      </c>
      <c r="H484" s="10">
        <f>ROUND(E484*F484,0)</f>
        <v>8225</v>
      </c>
    </row>
    <row r="485" spans="1:8" s="159" customFormat="1" ht="15.75" x14ac:dyDescent="0.25">
      <c r="A485" s="104">
        <v>1</v>
      </c>
      <c r="B485" s="104" t="s">
        <v>227</v>
      </c>
      <c r="C485" s="139" t="s">
        <v>92</v>
      </c>
      <c r="D485" s="24"/>
      <c r="E485" s="248">
        <f>SUM(E483:E484)</f>
        <v>2597</v>
      </c>
      <c r="F485" s="135">
        <f>H485/E485</f>
        <v>6.0997304582210239</v>
      </c>
      <c r="G485" s="232">
        <f>G483+G484</f>
        <v>64</v>
      </c>
      <c r="H485" s="232">
        <f>H483+H484</f>
        <v>15841</v>
      </c>
    </row>
    <row r="486" spans="1:8" s="159" customFormat="1" ht="15.75" customHeight="1" thickBot="1" x14ac:dyDescent="0.3">
      <c r="A486" s="104">
        <v>1</v>
      </c>
      <c r="B486" s="104" t="s">
        <v>227</v>
      </c>
      <c r="C486" s="26" t="s">
        <v>86</v>
      </c>
      <c r="D486" s="138"/>
      <c r="E486" s="244">
        <f>E485</f>
        <v>2597</v>
      </c>
      <c r="F486" s="135">
        <f>H486/E486</f>
        <v>6.0997304582210239</v>
      </c>
      <c r="G486" s="38">
        <f t="shared" ref="G486:H486" si="13">G485</f>
        <v>64</v>
      </c>
      <c r="H486" s="38">
        <f t="shared" si="13"/>
        <v>15841</v>
      </c>
    </row>
    <row r="487" spans="1:8" s="159" customFormat="1" ht="15.75" thickBot="1" x14ac:dyDescent="0.3">
      <c r="A487" s="104">
        <v>1</v>
      </c>
      <c r="B487" s="104" t="s">
        <v>227</v>
      </c>
      <c r="C487" s="249" t="s">
        <v>220</v>
      </c>
      <c r="D487" s="250"/>
      <c r="E487" s="251"/>
      <c r="F487" s="250"/>
      <c r="G487" s="250"/>
      <c r="H487" s="250"/>
    </row>
    <row r="488" spans="1:8" s="159" customFormat="1" ht="48" hidden="1" customHeight="1" x14ac:dyDescent="0.25">
      <c r="A488" s="104">
        <v>1</v>
      </c>
      <c r="B488" s="109" t="s">
        <v>228</v>
      </c>
      <c r="C488" s="674" t="s">
        <v>376</v>
      </c>
      <c r="D488" s="252"/>
      <c r="E488" s="253"/>
      <c r="F488" s="254"/>
      <c r="G488" s="254"/>
      <c r="H488" s="254"/>
    </row>
    <row r="489" spans="1:8" s="159" customFormat="1" hidden="1" x14ac:dyDescent="0.25">
      <c r="A489" s="104">
        <v>1</v>
      </c>
      <c r="B489" s="109" t="s">
        <v>228</v>
      </c>
      <c r="C489" s="255" t="s">
        <v>108</v>
      </c>
      <c r="D489" s="41"/>
      <c r="E489" s="256"/>
      <c r="F489" s="225"/>
      <c r="G489" s="225"/>
      <c r="H489" s="225"/>
    </row>
    <row r="490" spans="1:8" s="159" customFormat="1" hidden="1" x14ac:dyDescent="0.25">
      <c r="A490" s="104"/>
      <c r="B490" s="109" t="s">
        <v>228</v>
      </c>
      <c r="C490" s="12" t="s">
        <v>96</v>
      </c>
      <c r="D490" s="41"/>
      <c r="E490" s="256"/>
      <c r="F490" s="225"/>
      <c r="G490" s="225"/>
      <c r="H490" s="225"/>
    </row>
    <row r="491" spans="1:8" s="159" customFormat="1" hidden="1" x14ac:dyDescent="0.25">
      <c r="A491" s="104"/>
      <c r="B491" s="109" t="s">
        <v>228</v>
      </c>
      <c r="C491" s="14" t="s">
        <v>296</v>
      </c>
      <c r="D491" s="41"/>
      <c r="E491" s="257">
        <f>E492+E493+E497+E498</f>
        <v>79580</v>
      </c>
      <c r="F491" s="225"/>
      <c r="G491" s="225"/>
      <c r="H491" s="225"/>
    </row>
    <row r="492" spans="1:8" s="159" customFormat="1" hidden="1" x14ac:dyDescent="0.25">
      <c r="A492" s="104"/>
      <c r="B492" s="109" t="s">
        <v>228</v>
      </c>
      <c r="C492" s="15" t="s">
        <v>297</v>
      </c>
      <c r="D492" s="41"/>
      <c r="E492" s="256"/>
      <c r="F492" s="225"/>
      <c r="G492" s="225"/>
      <c r="H492" s="225"/>
    </row>
    <row r="493" spans="1:8" s="159" customFormat="1" ht="30" hidden="1" x14ac:dyDescent="0.25">
      <c r="A493" s="104"/>
      <c r="B493" s="109" t="s">
        <v>228</v>
      </c>
      <c r="C493" s="16" t="s">
        <v>298</v>
      </c>
      <c r="D493" s="41"/>
      <c r="E493" s="256">
        <f>E494+E496+E495/4</f>
        <v>79400</v>
      </c>
      <c r="F493" s="225"/>
      <c r="G493" s="225"/>
      <c r="H493" s="225"/>
    </row>
    <row r="494" spans="1:8" s="124" customFormat="1" hidden="1" x14ac:dyDescent="0.25">
      <c r="A494" s="104"/>
      <c r="B494" s="109" t="s">
        <v>228</v>
      </c>
      <c r="C494" s="15" t="s">
        <v>299</v>
      </c>
      <c r="D494" s="13"/>
      <c r="E494" s="256">
        <v>78000</v>
      </c>
      <c r="F494" s="10"/>
      <c r="G494" s="10"/>
      <c r="H494" s="10"/>
    </row>
    <row r="495" spans="1:8" s="159" customFormat="1" ht="30" hidden="1" x14ac:dyDescent="0.25">
      <c r="A495" s="104"/>
      <c r="B495" s="109" t="s">
        <v>228</v>
      </c>
      <c r="C495" s="15" t="s">
        <v>300</v>
      </c>
      <c r="D495" s="41"/>
      <c r="E495" s="256">
        <v>5600</v>
      </c>
      <c r="F495" s="225"/>
      <c r="G495" s="225"/>
      <c r="H495" s="225"/>
    </row>
    <row r="496" spans="1:8" s="159" customFormat="1" ht="45" hidden="1" x14ac:dyDescent="0.25">
      <c r="A496" s="104"/>
      <c r="B496" s="109" t="s">
        <v>228</v>
      </c>
      <c r="C496" s="15" t="s">
        <v>301</v>
      </c>
      <c r="D496" s="41"/>
      <c r="E496" s="256"/>
      <c r="F496" s="225"/>
      <c r="G496" s="225"/>
      <c r="H496" s="225"/>
    </row>
    <row r="497" spans="1:8" s="159" customFormat="1" ht="60" hidden="1" x14ac:dyDescent="0.25">
      <c r="A497" s="104"/>
      <c r="B497" s="109" t="s">
        <v>228</v>
      </c>
      <c r="C497" s="15" t="s">
        <v>309</v>
      </c>
      <c r="D497" s="41"/>
      <c r="E497" s="256"/>
      <c r="F497" s="225"/>
      <c r="G497" s="225"/>
      <c r="H497" s="225"/>
    </row>
    <row r="498" spans="1:8" s="159" customFormat="1" ht="45" hidden="1" x14ac:dyDescent="0.25">
      <c r="A498" s="104">
        <v>1</v>
      </c>
      <c r="B498" s="109" t="s">
        <v>228</v>
      </c>
      <c r="C498" s="18" t="s">
        <v>310</v>
      </c>
      <c r="D498" s="13"/>
      <c r="E498" s="256">
        <v>180</v>
      </c>
      <c r="F498" s="225"/>
      <c r="G498" s="225"/>
      <c r="H498" s="225"/>
    </row>
    <row r="499" spans="1:8" s="159" customFormat="1" hidden="1" x14ac:dyDescent="0.25">
      <c r="A499" s="104">
        <v>1</v>
      </c>
      <c r="B499" s="109" t="s">
        <v>228</v>
      </c>
      <c r="C499" s="14" t="s">
        <v>303</v>
      </c>
      <c r="D499" s="13"/>
      <c r="E499" s="257">
        <f>E500+E501+E503</f>
        <v>9451.9148936170204</v>
      </c>
      <c r="F499" s="225"/>
      <c r="G499" s="225"/>
      <c r="H499" s="225"/>
    </row>
    <row r="500" spans="1:8" s="159" customFormat="1" hidden="1" x14ac:dyDescent="0.25">
      <c r="A500" s="104"/>
      <c r="B500" s="109" t="s">
        <v>228</v>
      </c>
      <c r="C500" s="14" t="s">
        <v>304</v>
      </c>
      <c r="D500" s="13"/>
      <c r="E500" s="256">
        <f>8500</f>
        <v>8500</v>
      </c>
      <c r="F500" s="225"/>
      <c r="G500" s="225"/>
      <c r="H500" s="225"/>
    </row>
    <row r="501" spans="1:8" s="159" customFormat="1" hidden="1" x14ac:dyDescent="0.25">
      <c r="A501" s="104"/>
      <c r="B501" s="109" t="s">
        <v>228</v>
      </c>
      <c r="C501" s="15" t="s">
        <v>305</v>
      </c>
      <c r="D501" s="13"/>
      <c r="E501" s="256">
        <f>E502/9.4</f>
        <v>531.91489361702122</v>
      </c>
      <c r="F501" s="225"/>
      <c r="G501" s="225"/>
      <c r="H501" s="225"/>
    </row>
    <row r="502" spans="1:8" s="159" customFormat="1" hidden="1" x14ac:dyDescent="0.25">
      <c r="A502" s="104"/>
      <c r="B502" s="109" t="s">
        <v>228</v>
      </c>
      <c r="C502" s="42" t="s">
        <v>314</v>
      </c>
      <c r="D502" s="13"/>
      <c r="E502" s="256">
        <v>5000</v>
      </c>
      <c r="F502" s="225"/>
      <c r="G502" s="225"/>
      <c r="H502" s="225"/>
    </row>
    <row r="503" spans="1:8" s="159" customFormat="1" hidden="1" x14ac:dyDescent="0.25">
      <c r="A503" s="104"/>
      <c r="B503" s="109"/>
      <c r="C503" s="42" t="s">
        <v>366</v>
      </c>
      <c r="D503" s="13"/>
      <c r="E503" s="256">
        <f>SUM(E504:E506)</f>
        <v>420</v>
      </c>
      <c r="F503" s="225"/>
      <c r="G503" s="225"/>
      <c r="H503" s="225"/>
    </row>
    <row r="504" spans="1:8" s="159" customFormat="1" hidden="1" x14ac:dyDescent="0.25">
      <c r="A504" s="104"/>
      <c r="B504" s="109"/>
      <c r="C504" s="42" t="s">
        <v>367</v>
      </c>
      <c r="D504" s="13"/>
      <c r="E504" s="256">
        <v>120</v>
      </c>
      <c r="F504" s="225"/>
      <c r="G504" s="225"/>
      <c r="H504" s="225"/>
    </row>
    <row r="505" spans="1:8" s="159" customFormat="1" hidden="1" x14ac:dyDescent="0.25">
      <c r="A505" s="104"/>
      <c r="B505" s="109"/>
      <c r="C505" s="42" t="s">
        <v>368</v>
      </c>
      <c r="D505" s="13"/>
      <c r="E505" s="256">
        <v>10</v>
      </c>
      <c r="F505" s="225"/>
      <c r="G505" s="225"/>
      <c r="H505" s="225"/>
    </row>
    <row r="506" spans="1:8" s="159" customFormat="1" ht="30" hidden="1" x14ac:dyDescent="0.25">
      <c r="A506" s="104"/>
      <c r="B506" s="109"/>
      <c r="C506" s="42" t="s">
        <v>369</v>
      </c>
      <c r="D506" s="13"/>
      <c r="E506" s="256">
        <v>290</v>
      </c>
      <c r="F506" s="225"/>
      <c r="G506" s="225"/>
      <c r="H506" s="225"/>
    </row>
    <row r="507" spans="1:8" s="159" customFormat="1" ht="29.25" hidden="1" x14ac:dyDescent="0.25">
      <c r="A507" s="104">
        <v>1</v>
      </c>
      <c r="B507" s="109" t="s">
        <v>228</v>
      </c>
      <c r="C507" s="14" t="s">
        <v>306</v>
      </c>
      <c r="D507" s="13"/>
      <c r="E507" s="246"/>
      <c r="F507" s="225"/>
      <c r="G507" s="225"/>
      <c r="H507" s="225"/>
    </row>
    <row r="508" spans="1:8" s="159" customFormat="1" ht="30" hidden="1" x14ac:dyDescent="0.25">
      <c r="A508" s="104">
        <v>1</v>
      </c>
      <c r="B508" s="109" t="s">
        <v>228</v>
      </c>
      <c r="C508" s="19" t="s">
        <v>115</v>
      </c>
      <c r="D508" s="13"/>
      <c r="E508" s="246"/>
      <c r="F508" s="225"/>
      <c r="G508" s="225"/>
      <c r="H508" s="225"/>
    </row>
    <row r="509" spans="1:8" s="159" customFormat="1" ht="57.75" hidden="1" x14ac:dyDescent="0.25">
      <c r="A509" s="104">
        <v>1</v>
      </c>
      <c r="B509" s="109" t="s">
        <v>228</v>
      </c>
      <c r="C509" s="14" t="s">
        <v>312</v>
      </c>
      <c r="D509" s="13"/>
      <c r="E509" s="256"/>
      <c r="F509" s="225"/>
      <c r="G509" s="225"/>
      <c r="H509" s="225"/>
    </row>
    <row r="510" spans="1:8" s="159" customFormat="1" hidden="1" x14ac:dyDescent="0.25">
      <c r="A510" s="104"/>
      <c r="B510" s="109" t="s">
        <v>228</v>
      </c>
      <c r="C510" s="21" t="s">
        <v>198</v>
      </c>
      <c r="D510" s="13"/>
      <c r="E510" s="256">
        <f>E491</f>
        <v>79580</v>
      </c>
      <c r="F510" s="225"/>
      <c r="G510" s="225"/>
      <c r="H510" s="225"/>
    </row>
    <row r="511" spans="1:8" s="159" customFormat="1" hidden="1" x14ac:dyDescent="0.25">
      <c r="A511" s="104"/>
      <c r="B511" s="109" t="s">
        <v>228</v>
      </c>
      <c r="C511" s="21" t="s">
        <v>200</v>
      </c>
      <c r="D511" s="13"/>
      <c r="E511" s="256">
        <f>E499</f>
        <v>9451.9148936170204</v>
      </c>
      <c r="F511" s="225"/>
      <c r="G511" s="225"/>
      <c r="H511" s="225"/>
    </row>
    <row r="512" spans="1:8" s="159" customFormat="1" ht="29.25" hidden="1" x14ac:dyDescent="0.25">
      <c r="A512" s="104"/>
      <c r="B512" s="109" t="s">
        <v>228</v>
      </c>
      <c r="C512" s="21" t="s">
        <v>201</v>
      </c>
      <c r="D512" s="13"/>
      <c r="E512" s="256">
        <f>E507</f>
        <v>0</v>
      </c>
      <c r="F512" s="225"/>
      <c r="G512" s="225"/>
      <c r="H512" s="225"/>
    </row>
    <row r="513" spans="1:8" s="159" customFormat="1" hidden="1" x14ac:dyDescent="0.25">
      <c r="A513" s="104"/>
      <c r="B513" s="109" t="s">
        <v>228</v>
      </c>
      <c r="C513" s="22" t="s">
        <v>109</v>
      </c>
      <c r="D513" s="13"/>
      <c r="E513" s="257">
        <f>E500*2.9+E491+E502/4.2+E503*10</f>
        <v>109620.47619047618</v>
      </c>
      <c r="F513" s="225"/>
      <c r="G513" s="225"/>
      <c r="H513" s="225"/>
    </row>
    <row r="514" spans="1:8" s="159" customFormat="1" hidden="1" x14ac:dyDescent="0.25">
      <c r="A514" s="104">
        <v>1</v>
      </c>
      <c r="B514" s="109" t="s">
        <v>228</v>
      </c>
      <c r="C514" s="30" t="s">
        <v>7</v>
      </c>
      <c r="D514" s="24"/>
      <c r="E514" s="246"/>
      <c r="F514" s="24"/>
      <c r="G514" s="24"/>
      <c r="H514" s="24"/>
    </row>
    <row r="515" spans="1:8" s="159" customFormat="1" hidden="1" x14ac:dyDescent="0.25">
      <c r="A515" s="104">
        <v>1</v>
      </c>
      <c r="B515" s="109" t="s">
        <v>228</v>
      </c>
      <c r="C515" s="40" t="s">
        <v>18</v>
      </c>
      <c r="D515" s="24"/>
      <c r="E515" s="246"/>
      <c r="F515" s="24"/>
      <c r="G515" s="24"/>
      <c r="H515" s="24"/>
    </row>
    <row r="516" spans="1:8" s="159" customFormat="1" hidden="1" x14ac:dyDescent="0.25">
      <c r="A516" s="104">
        <v>1</v>
      </c>
      <c r="B516" s="109" t="s">
        <v>228</v>
      </c>
      <c r="C516" s="25" t="s">
        <v>90</v>
      </c>
      <c r="D516" s="24">
        <v>240</v>
      </c>
      <c r="E516" s="246">
        <v>2657</v>
      </c>
      <c r="F516" s="226">
        <v>10</v>
      </c>
      <c r="G516" s="2">
        <f>ROUND(H516/D516,0)</f>
        <v>111</v>
      </c>
      <c r="H516" s="10">
        <f>ROUND(E516*F516,0)</f>
        <v>26570</v>
      </c>
    </row>
    <row r="517" spans="1:8" s="159" customFormat="1" hidden="1" x14ac:dyDescent="0.25">
      <c r="A517" s="104">
        <v>1</v>
      </c>
      <c r="B517" s="109" t="s">
        <v>228</v>
      </c>
      <c r="C517" s="139" t="s">
        <v>92</v>
      </c>
      <c r="D517" s="24"/>
      <c r="E517" s="248">
        <v>2657</v>
      </c>
      <c r="F517" s="258">
        <f>H517/E517</f>
        <v>10</v>
      </c>
      <c r="G517" s="232">
        <f>G516</f>
        <v>111</v>
      </c>
      <c r="H517" s="232">
        <f>H516</f>
        <v>26570</v>
      </c>
    </row>
    <row r="518" spans="1:8" s="159" customFormat="1" ht="16.5" hidden="1" customHeight="1" thickBot="1" x14ac:dyDescent="0.3">
      <c r="A518" s="104">
        <v>1</v>
      </c>
      <c r="B518" s="109" t="s">
        <v>228</v>
      </c>
      <c r="C518" s="26" t="s">
        <v>86</v>
      </c>
      <c r="D518" s="138"/>
      <c r="E518" s="259">
        <f>E517</f>
        <v>2657</v>
      </c>
      <c r="F518" s="235">
        <f>H518/E518</f>
        <v>10</v>
      </c>
      <c r="G518" s="236">
        <f>G517</f>
        <v>111</v>
      </c>
      <c r="H518" s="236">
        <f>H517</f>
        <v>26570</v>
      </c>
    </row>
    <row r="519" spans="1:8" s="159" customFormat="1" ht="15.75" hidden="1" customHeight="1" thickBot="1" x14ac:dyDescent="0.3">
      <c r="A519" s="104">
        <v>1</v>
      </c>
      <c r="B519" s="109" t="s">
        <v>228</v>
      </c>
      <c r="C519" s="154" t="s">
        <v>220</v>
      </c>
      <c r="D519" s="155"/>
      <c r="E519" s="260"/>
      <c r="F519" s="157"/>
      <c r="G519" s="158"/>
      <c r="H519" s="157"/>
    </row>
    <row r="520" spans="1:8" s="159" customFormat="1" ht="15.75" hidden="1" customHeight="1" thickBot="1" x14ac:dyDescent="0.3">
      <c r="A520" s="104">
        <v>1</v>
      </c>
      <c r="B520" s="104"/>
      <c r="C520" s="261"/>
      <c r="D520" s="262"/>
      <c r="E520" s="263"/>
      <c r="F520" s="264"/>
      <c r="G520" s="264"/>
      <c r="H520" s="264"/>
    </row>
    <row r="521" spans="1:8" s="159" customFormat="1" ht="29.25" hidden="1" x14ac:dyDescent="0.25">
      <c r="A521" s="104">
        <v>1</v>
      </c>
      <c r="B521" s="109" t="s">
        <v>229</v>
      </c>
      <c r="C521" s="674" t="s">
        <v>377</v>
      </c>
      <c r="D521" s="252"/>
      <c r="E521" s="253"/>
      <c r="F521" s="254"/>
      <c r="G521" s="254"/>
      <c r="H521" s="254"/>
    </row>
    <row r="522" spans="1:8" s="159" customFormat="1" hidden="1" x14ac:dyDescent="0.25">
      <c r="A522" s="104">
        <v>1</v>
      </c>
      <c r="B522" s="109" t="s">
        <v>229</v>
      </c>
      <c r="C522" s="255" t="s">
        <v>108</v>
      </c>
      <c r="D522" s="41"/>
      <c r="E522" s="256"/>
      <c r="F522" s="225"/>
      <c r="G522" s="225"/>
      <c r="H522" s="225"/>
    </row>
    <row r="523" spans="1:8" s="159" customFormat="1" hidden="1" x14ac:dyDescent="0.25">
      <c r="A523" s="104">
        <v>1</v>
      </c>
      <c r="B523" s="109" t="s">
        <v>229</v>
      </c>
      <c r="C523" s="12" t="s">
        <v>96</v>
      </c>
      <c r="D523" s="13"/>
      <c r="E523" s="256"/>
      <c r="F523" s="225"/>
      <c r="G523" s="225"/>
      <c r="H523" s="225"/>
    </row>
    <row r="524" spans="1:8" s="159" customFormat="1" hidden="1" x14ac:dyDescent="0.25">
      <c r="A524" s="104"/>
      <c r="B524" s="109" t="s">
        <v>229</v>
      </c>
      <c r="C524" s="14" t="s">
        <v>296</v>
      </c>
      <c r="D524" s="13"/>
      <c r="E524" s="257">
        <f>E525</f>
        <v>11500</v>
      </c>
      <c r="F524" s="225"/>
      <c r="G524" s="225"/>
      <c r="H524" s="225"/>
    </row>
    <row r="525" spans="1:8" s="159" customFormat="1" ht="30" hidden="1" x14ac:dyDescent="0.25">
      <c r="A525" s="104"/>
      <c r="B525" s="109" t="s">
        <v>229</v>
      </c>
      <c r="C525" s="266" t="s">
        <v>298</v>
      </c>
      <c r="D525" s="13"/>
      <c r="E525" s="256">
        <f>E526/4</f>
        <v>11500</v>
      </c>
      <c r="F525" s="225"/>
      <c r="G525" s="225"/>
      <c r="H525" s="225"/>
    </row>
    <row r="526" spans="1:8" s="159" customFormat="1" ht="30" hidden="1" x14ac:dyDescent="0.25">
      <c r="A526" s="104"/>
      <c r="B526" s="109" t="s">
        <v>229</v>
      </c>
      <c r="C526" s="15" t="s">
        <v>300</v>
      </c>
      <c r="D526" s="13"/>
      <c r="E526" s="256">
        <v>46000</v>
      </c>
      <c r="F526" s="225"/>
      <c r="G526" s="225"/>
      <c r="H526" s="225"/>
    </row>
    <row r="527" spans="1:8" s="159" customFormat="1" hidden="1" x14ac:dyDescent="0.25">
      <c r="A527" s="104">
        <v>1</v>
      </c>
      <c r="B527" s="109" t="s">
        <v>229</v>
      </c>
      <c r="C527" s="14" t="s">
        <v>303</v>
      </c>
      <c r="D527" s="13"/>
      <c r="E527" s="256">
        <f>(E529+E530)/9.4</f>
        <v>27633.404255319147</v>
      </c>
      <c r="F527" s="225"/>
      <c r="G527" s="225"/>
      <c r="H527" s="225"/>
    </row>
    <row r="528" spans="1:8" s="159" customFormat="1" hidden="1" x14ac:dyDescent="0.25">
      <c r="A528" s="104"/>
      <c r="B528" s="109"/>
      <c r="C528" s="14" t="s">
        <v>305</v>
      </c>
      <c r="D528" s="13"/>
      <c r="E528" s="256">
        <f>E529/9.4+E530/9.4</f>
        <v>27633.404255319147</v>
      </c>
      <c r="F528" s="225"/>
      <c r="G528" s="225"/>
      <c r="H528" s="225"/>
    </row>
    <row r="529" spans="1:8" s="159" customFormat="1" hidden="1" x14ac:dyDescent="0.25">
      <c r="A529" s="104">
        <v>1</v>
      </c>
      <c r="B529" s="109" t="s">
        <v>229</v>
      </c>
      <c r="C529" s="42" t="s">
        <v>314</v>
      </c>
      <c r="D529" s="13"/>
      <c r="E529" s="256">
        <v>259504</v>
      </c>
      <c r="F529" s="225"/>
      <c r="G529" s="225"/>
      <c r="H529" s="225"/>
    </row>
    <row r="530" spans="1:8" s="159" customFormat="1" hidden="1" x14ac:dyDescent="0.25">
      <c r="A530" s="104">
        <v>1</v>
      </c>
      <c r="B530" s="109" t="s">
        <v>229</v>
      </c>
      <c r="C530" s="42" t="s">
        <v>316</v>
      </c>
      <c r="D530" s="13"/>
      <c r="E530" s="256">
        <v>250</v>
      </c>
      <c r="F530" s="225"/>
      <c r="G530" s="225"/>
      <c r="H530" s="225"/>
    </row>
    <row r="531" spans="1:8" s="159" customFormat="1" hidden="1" x14ac:dyDescent="0.25">
      <c r="A531" s="104"/>
      <c r="B531" s="109" t="s">
        <v>229</v>
      </c>
      <c r="C531" s="21" t="s">
        <v>198</v>
      </c>
      <c r="D531" s="267"/>
      <c r="E531" s="268">
        <f>E524</f>
        <v>11500</v>
      </c>
      <c r="F531" s="269"/>
      <c r="G531" s="39"/>
      <c r="H531" s="39"/>
    </row>
    <row r="532" spans="1:8" s="159" customFormat="1" hidden="1" x14ac:dyDescent="0.25">
      <c r="A532" s="104"/>
      <c r="B532" s="109" t="s">
        <v>229</v>
      </c>
      <c r="C532" s="21" t="s">
        <v>200</v>
      </c>
      <c r="D532" s="267"/>
      <c r="E532" s="270">
        <f>E527</f>
        <v>27633.404255319147</v>
      </c>
      <c r="F532" s="39"/>
      <c r="G532" s="269"/>
      <c r="H532" s="39"/>
    </row>
    <row r="533" spans="1:8" s="159" customFormat="1" ht="18" hidden="1" customHeight="1" thickBot="1" x14ac:dyDescent="0.3">
      <c r="A533" s="104">
        <v>1</v>
      </c>
      <c r="B533" s="109" t="s">
        <v>229</v>
      </c>
      <c r="C533" s="22" t="s">
        <v>109</v>
      </c>
      <c r="D533" s="267"/>
      <c r="E533" s="271">
        <f>(E529+E530)/4.2+E524</f>
        <v>73346.190476190473</v>
      </c>
      <c r="F533" s="272"/>
      <c r="G533" s="272"/>
      <c r="H533" s="269"/>
    </row>
    <row r="534" spans="1:8" s="159" customFormat="1" ht="15.75" hidden="1" thickBot="1" x14ac:dyDescent="0.3">
      <c r="A534" s="104">
        <v>1</v>
      </c>
      <c r="B534" s="109" t="s">
        <v>229</v>
      </c>
      <c r="C534" s="154" t="s">
        <v>220</v>
      </c>
      <c r="D534" s="155"/>
      <c r="E534" s="273">
        <f>E531+(E529+E530)/4.2</f>
        <v>73346.190476190473</v>
      </c>
      <c r="F534" s="157"/>
      <c r="G534" s="157"/>
      <c r="H534" s="202"/>
    </row>
    <row r="535" spans="1:8" s="159" customFormat="1" ht="43.5" hidden="1" x14ac:dyDescent="0.25">
      <c r="A535" s="104">
        <v>1</v>
      </c>
      <c r="B535" s="274" t="s">
        <v>230</v>
      </c>
      <c r="C535" s="674" t="s">
        <v>378</v>
      </c>
      <c r="D535" s="176"/>
      <c r="E535" s="275"/>
      <c r="F535" s="225"/>
      <c r="G535" s="225"/>
      <c r="H535" s="225"/>
    </row>
    <row r="536" spans="1:8" s="159" customFormat="1" hidden="1" x14ac:dyDescent="0.25">
      <c r="A536" s="104">
        <v>1</v>
      </c>
      <c r="B536" s="274" t="s">
        <v>230</v>
      </c>
      <c r="C536" s="255" t="s">
        <v>6</v>
      </c>
      <c r="D536" s="41"/>
      <c r="E536" s="256"/>
      <c r="F536" s="39"/>
      <c r="G536" s="39"/>
      <c r="H536" s="39"/>
    </row>
    <row r="537" spans="1:8" s="159" customFormat="1" ht="18" hidden="1" customHeight="1" x14ac:dyDescent="0.25">
      <c r="A537" s="104">
        <v>1</v>
      </c>
      <c r="B537" s="274" t="s">
        <v>230</v>
      </c>
      <c r="C537" s="12" t="s">
        <v>96</v>
      </c>
      <c r="D537" s="13"/>
      <c r="E537" s="256"/>
      <c r="F537" s="225"/>
      <c r="G537" s="225"/>
      <c r="H537" s="225"/>
    </row>
    <row r="538" spans="1:8" s="159" customFormat="1" hidden="1" x14ac:dyDescent="0.25">
      <c r="A538" s="104"/>
      <c r="B538" s="274" t="s">
        <v>230</v>
      </c>
      <c r="C538" s="14" t="s">
        <v>296</v>
      </c>
      <c r="D538" s="13"/>
      <c r="E538" s="256">
        <f>E539</f>
        <v>3265</v>
      </c>
      <c r="F538" s="225"/>
      <c r="G538" s="225"/>
      <c r="H538" s="225"/>
    </row>
    <row r="539" spans="1:8" s="159" customFormat="1" ht="28.5" hidden="1" customHeight="1" x14ac:dyDescent="0.25">
      <c r="A539" s="104"/>
      <c r="B539" s="274" t="s">
        <v>230</v>
      </c>
      <c r="C539" s="266" t="s">
        <v>298</v>
      </c>
      <c r="D539" s="13"/>
      <c r="E539" s="256">
        <f>E540/4</f>
        <v>3265</v>
      </c>
      <c r="F539" s="225"/>
      <c r="G539" s="225"/>
      <c r="H539" s="225"/>
    </row>
    <row r="540" spans="1:8" s="159" customFormat="1" ht="30" hidden="1" x14ac:dyDescent="0.25">
      <c r="A540" s="104"/>
      <c r="B540" s="274" t="s">
        <v>230</v>
      </c>
      <c r="C540" s="15" t="s">
        <v>300</v>
      </c>
      <c r="D540" s="13"/>
      <c r="E540" s="256">
        <v>13060</v>
      </c>
      <c r="F540" s="225"/>
      <c r="G540" s="225"/>
      <c r="H540" s="225"/>
    </row>
    <row r="541" spans="1:8" s="159" customFormat="1" hidden="1" x14ac:dyDescent="0.25">
      <c r="A541" s="104"/>
      <c r="B541" s="274" t="s">
        <v>230</v>
      </c>
      <c r="C541" s="14" t="s">
        <v>303</v>
      </c>
      <c r="D541" s="13"/>
      <c r="E541" s="256">
        <f>E543/9.4</f>
        <v>35681.170212765959</v>
      </c>
      <c r="F541" s="225"/>
      <c r="G541" s="225"/>
      <c r="H541" s="225"/>
    </row>
    <row r="542" spans="1:8" s="159" customFormat="1" hidden="1" x14ac:dyDescent="0.25">
      <c r="A542" s="104"/>
      <c r="B542" s="274"/>
      <c r="C542" s="14" t="s">
        <v>305</v>
      </c>
      <c r="D542" s="13"/>
      <c r="E542" s="256">
        <f>E543/9.4</f>
        <v>35681.170212765959</v>
      </c>
      <c r="F542" s="225"/>
      <c r="G542" s="225"/>
      <c r="H542" s="225"/>
    </row>
    <row r="543" spans="1:8" s="159" customFormat="1" hidden="1" x14ac:dyDescent="0.25">
      <c r="A543" s="104">
        <v>1</v>
      </c>
      <c r="B543" s="274" t="s">
        <v>230</v>
      </c>
      <c r="C543" s="42" t="s">
        <v>314</v>
      </c>
      <c r="D543" s="13"/>
      <c r="E543" s="256">
        <v>335403</v>
      </c>
      <c r="F543" s="225"/>
      <c r="G543" s="225"/>
      <c r="H543" s="225"/>
    </row>
    <row r="544" spans="1:8" s="159" customFormat="1" hidden="1" x14ac:dyDescent="0.25">
      <c r="A544" s="104">
        <v>1</v>
      </c>
      <c r="B544" s="274" t="s">
        <v>230</v>
      </c>
      <c r="C544" s="42" t="s">
        <v>316</v>
      </c>
      <c r="D544" s="13"/>
      <c r="E544" s="256"/>
      <c r="F544" s="225"/>
      <c r="G544" s="225"/>
      <c r="H544" s="225"/>
    </row>
    <row r="545" spans="1:10" s="159" customFormat="1" hidden="1" x14ac:dyDescent="0.25">
      <c r="A545" s="104">
        <v>1</v>
      </c>
      <c r="B545" s="274" t="s">
        <v>230</v>
      </c>
      <c r="C545" s="21" t="s">
        <v>198</v>
      </c>
      <c r="D545" s="13"/>
      <c r="E545" s="257">
        <f>E538</f>
        <v>3265</v>
      </c>
      <c r="F545" s="225"/>
      <c r="G545" s="225"/>
      <c r="H545" s="225"/>
    </row>
    <row r="546" spans="1:10" s="159" customFormat="1" hidden="1" x14ac:dyDescent="0.25">
      <c r="A546" s="104">
        <v>1</v>
      </c>
      <c r="B546" s="274" t="s">
        <v>230</v>
      </c>
      <c r="C546" s="21" t="s">
        <v>200</v>
      </c>
      <c r="D546" s="13"/>
      <c r="E546" s="257">
        <f>E541</f>
        <v>35681.170212765959</v>
      </c>
      <c r="F546" s="225"/>
      <c r="G546" s="225"/>
      <c r="H546" s="225"/>
    </row>
    <row r="547" spans="1:10" s="159" customFormat="1" ht="18.75" hidden="1" customHeight="1" thickBot="1" x14ac:dyDescent="0.3">
      <c r="A547" s="104">
        <v>1</v>
      </c>
      <c r="B547" s="274" t="s">
        <v>230</v>
      </c>
      <c r="C547" s="22" t="s">
        <v>109</v>
      </c>
      <c r="D547" s="267"/>
      <c r="E547" s="276">
        <f>E543/4.2+E538</f>
        <v>83122.857142857145</v>
      </c>
      <c r="F547" s="39"/>
      <c r="G547" s="39"/>
      <c r="H547" s="39"/>
    </row>
    <row r="548" spans="1:10" s="159" customFormat="1" ht="15.75" hidden="1" thickBot="1" x14ac:dyDescent="0.3">
      <c r="A548" s="104">
        <v>1</v>
      </c>
      <c r="B548" s="274" t="s">
        <v>230</v>
      </c>
      <c r="C548" s="154" t="s">
        <v>220</v>
      </c>
      <c r="D548" s="155"/>
      <c r="E548" s="260">
        <f>E545+(E543)/4.2</f>
        <v>83122.857142857145</v>
      </c>
      <c r="F548" s="277"/>
      <c r="G548" s="264"/>
      <c r="H548" s="277"/>
    </row>
    <row r="549" spans="1:10" s="159" customFormat="1" ht="14.25" hidden="1" customHeight="1" x14ac:dyDescent="0.25">
      <c r="A549" s="104">
        <v>1</v>
      </c>
      <c r="B549" s="104"/>
      <c r="C549" s="278"/>
      <c r="D549" s="182"/>
      <c r="E549" s="275"/>
      <c r="F549" s="225"/>
      <c r="G549" s="225"/>
      <c r="H549" s="225"/>
    </row>
    <row r="550" spans="1:10" ht="57.75" hidden="1" x14ac:dyDescent="0.25">
      <c r="A550" s="109" t="s">
        <v>231</v>
      </c>
      <c r="B550" s="109" t="s">
        <v>231</v>
      </c>
      <c r="C550" s="674" t="s">
        <v>379</v>
      </c>
      <c r="D550" s="115"/>
      <c r="E550" s="245"/>
      <c r="F550" s="39"/>
      <c r="G550" s="39"/>
      <c r="H550" s="39"/>
    </row>
    <row r="551" spans="1:10" hidden="1" x14ac:dyDescent="0.25">
      <c r="A551" s="109" t="s">
        <v>231</v>
      </c>
      <c r="B551" s="109" t="s">
        <v>231</v>
      </c>
      <c r="C551" s="112" t="s">
        <v>4</v>
      </c>
      <c r="D551" s="115"/>
      <c r="E551" s="245"/>
      <c r="F551" s="39"/>
      <c r="G551" s="39"/>
      <c r="H551" s="39"/>
    </row>
    <row r="552" spans="1:10" hidden="1" x14ac:dyDescent="0.25">
      <c r="A552" s="109" t="s">
        <v>231</v>
      </c>
      <c r="B552" s="109" t="s">
        <v>231</v>
      </c>
      <c r="C552" s="32" t="s">
        <v>43</v>
      </c>
      <c r="D552" s="115">
        <v>330</v>
      </c>
      <c r="E552" s="245">
        <v>280</v>
      </c>
      <c r="F552" s="279">
        <v>3</v>
      </c>
      <c r="G552" s="2">
        <f>ROUND(H552/D552,0)</f>
        <v>3</v>
      </c>
      <c r="H552" s="39">
        <f>ROUND(E552*F552,0)</f>
        <v>840</v>
      </c>
    </row>
    <row r="553" spans="1:10" ht="15.75" hidden="1" x14ac:dyDescent="0.25">
      <c r="A553" s="109" t="s">
        <v>231</v>
      </c>
      <c r="B553" s="109" t="s">
        <v>231</v>
      </c>
      <c r="C553" s="280" t="s">
        <v>5</v>
      </c>
      <c r="D553" s="190"/>
      <c r="E553" s="244">
        <v>280</v>
      </c>
      <c r="F553" s="135">
        <f>H553/E553</f>
        <v>3</v>
      </c>
      <c r="G553" s="38">
        <f>G552</f>
        <v>3</v>
      </c>
      <c r="H553" s="38">
        <f>H552</f>
        <v>840</v>
      </c>
      <c r="J553" s="118"/>
    </row>
    <row r="554" spans="1:10" ht="15.75" hidden="1" x14ac:dyDescent="0.25">
      <c r="A554" s="109" t="s">
        <v>231</v>
      </c>
      <c r="B554" s="109" t="s">
        <v>231</v>
      </c>
      <c r="C554" s="120" t="s">
        <v>213</v>
      </c>
      <c r="D554" s="281"/>
      <c r="E554" s="282"/>
      <c r="F554" s="135"/>
      <c r="G554" s="38"/>
      <c r="H554" s="38"/>
    </row>
    <row r="555" spans="1:10" hidden="1" x14ac:dyDescent="0.25">
      <c r="A555" s="109" t="s">
        <v>231</v>
      </c>
      <c r="B555" s="109" t="s">
        <v>231</v>
      </c>
      <c r="C555" s="255" t="s">
        <v>108</v>
      </c>
      <c r="D555" s="41"/>
      <c r="E555" s="256"/>
      <c r="F555" s="143"/>
      <c r="G555" s="38"/>
      <c r="H555" s="38"/>
    </row>
    <row r="556" spans="1:10" hidden="1" x14ac:dyDescent="0.25">
      <c r="A556" s="109" t="s">
        <v>231</v>
      </c>
      <c r="B556" s="109" t="s">
        <v>231</v>
      </c>
      <c r="C556" s="12" t="s">
        <v>96</v>
      </c>
      <c r="D556" s="41"/>
      <c r="E556" s="256"/>
      <c r="F556" s="143"/>
      <c r="G556" s="38"/>
      <c r="H556" s="38"/>
    </row>
    <row r="557" spans="1:10" hidden="1" x14ac:dyDescent="0.25">
      <c r="A557" s="109" t="s">
        <v>231</v>
      </c>
      <c r="B557" s="109" t="s">
        <v>231</v>
      </c>
      <c r="C557" s="14" t="s">
        <v>296</v>
      </c>
      <c r="D557" s="41"/>
      <c r="E557" s="257">
        <f>E559+E563</f>
        <v>200</v>
      </c>
      <c r="F557" s="143"/>
      <c r="G557" s="38"/>
      <c r="H557" s="38"/>
    </row>
    <row r="558" spans="1:10" hidden="1" x14ac:dyDescent="0.25">
      <c r="A558" s="109" t="s">
        <v>231</v>
      </c>
      <c r="B558" s="109" t="s">
        <v>231</v>
      </c>
      <c r="C558" s="15" t="s">
        <v>297</v>
      </c>
      <c r="D558" s="41"/>
      <c r="E558" s="256"/>
      <c r="F558" s="143"/>
      <c r="G558" s="38"/>
      <c r="H558" s="38"/>
    </row>
    <row r="559" spans="1:10" ht="30" hidden="1" x14ac:dyDescent="0.25">
      <c r="A559" s="109" t="s">
        <v>231</v>
      </c>
      <c r="B559" s="109" t="s">
        <v>231</v>
      </c>
      <c r="C559" s="16" t="s">
        <v>298</v>
      </c>
      <c r="D559" s="41"/>
      <c r="E559" s="256">
        <f>E560</f>
        <v>200</v>
      </c>
      <c r="F559" s="143"/>
      <c r="G559" s="38"/>
      <c r="H559" s="38"/>
    </row>
    <row r="560" spans="1:10" s="124" customFormat="1" hidden="1" x14ac:dyDescent="0.25">
      <c r="A560" s="109" t="s">
        <v>231</v>
      </c>
      <c r="B560" s="109" t="s">
        <v>231</v>
      </c>
      <c r="C560" s="15" t="s">
        <v>299</v>
      </c>
      <c r="D560" s="13"/>
      <c r="E560" s="256">
        <v>200</v>
      </c>
      <c r="F560" s="10"/>
      <c r="G560" s="10"/>
      <c r="H560" s="10"/>
    </row>
    <row r="561" spans="1:8" ht="45" hidden="1" x14ac:dyDescent="0.25">
      <c r="A561" s="109" t="s">
        <v>231</v>
      </c>
      <c r="B561" s="109" t="s">
        <v>231</v>
      </c>
      <c r="C561" s="15" t="s">
        <v>301</v>
      </c>
      <c r="D561" s="41"/>
      <c r="E561" s="256"/>
      <c r="F561" s="143"/>
      <c r="G561" s="38"/>
      <c r="H561" s="38"/>
    </row>
    <row r="562" spans="1:8" ht="60" hidden="1" x14ac:dyDescent="0.25">
      <c r="A562" s="109" t="s">
        <v>231</v>
      </c>
      <c r="B562" s="109" t="s">
        <v>231</v>
      </c>
      <c r="C562" s="15" t="s">
        <v>309</v>
      </c>
      <c r="D562" s="41"/>
      <c r="E562" s="256"/>
      <c r="F562" s="143"/>
      <c r="G562" s="38"/>
      <c r="H562" s="38"/>
    </row>
    <row r="563" spans="1:8" ht="45" hidden="1" x14ac:dyDescent="0.25">
      <c r="A563" s="109" t="s">
        <v>231</v>
      </c>
      <c r="B563" s="109" t="s">
        <v>231</v>
      </c>
      <c r="C563" s="18" t="s">
        <v>310</v>
      </c>
      <c r="D563" s="41"/>
      <c r="E563" s="256"/>
      <c r="F563" s="143"/>
      <c r="G563" s="38"/>
      <c r="H563" s="38"/>
    </row>
    <row r="564" spans="1:8" hidden="1" x14ac:dyDescent="0.25">
      <c r="A564" s="109" t="s">
        <v>231</v>
      </c>
      <c r="B564" s="109" t="s">
        <v>231</v>
      </c>
      <c r="C564" s="14" t="s">
        <v>303</v>
      </c>
      <c r="D564" s="41"/>
      <c r="E564" s="256"/>
      <c r="F564" s="143"/>
      <c r="G564" s="38"/>
      <c r="H564" s="38"/>
    </row>
    <row r="565" spans="1:8" ht="29.25" hidden="1" x14ac:dyDescent="0.25">
      <c r="A565" s="109" t="s">
        <v>231</v>
      </c>
      <c r="B565" s="109" t="s">
        <v>231</v>
      </c>
      <c r="C565" s="14" t="s">
        <v>306</v>
      </c>
      <c r="D565" s="13"/>
      <c r="E565" s="256">
        <f>E566</f>
        <v>0</v>
      </c>
      <c r="F565" s="143"/>
      <c r="G565" s="38"/>
      <c r="H565" s="38"/>
    </row>
    <row r="566" spans="1:8" ht="30" hidden="1" x14ac:dyDescent="0.25">
      <c r="A566" s="109" t="s">
        <v>231</v>
      </c>
      <c r="B566" s="109" t="s">
        <v>231</v>
      </c>
      <c r="C566" s="19" t="s">
        <v>115</v>
      </c>
      <c r="D566" s="13"/>
      <c r="E566" s="256"/>
      <c r="F566" s="143"/>
      <c r="G566" s="38"/>
      <c r="H566" s="38"/>
    </row>
    <row r="567" spans="1:8" ht="57.75" hidden="1" x14ac:dyDescent="0.25">
      <c r="A567" s="109" t="s">
        <v>231</v>
      </c>
      <c r="B567" s="109" t="s">
        <v>231</v>
      </c>
      <c r="C567" s="14" t="s">
        <v>307</v>
      </c>
      <c r="D567" s="13"/>
      <c r="E567" s="256"/>
      <c r="F567" s="143"/>
      <c r="G567" s="38"/>
      <c r="H567" s="38"/>
    </row>
    <row r="568" spans="1:8" hidden="1" x14ac:dyDescent="0.25">
      <c r="A568" s="109" t="s">
        <v>231</v>
      </c>
      <c r="B568" s="109" t="s">
        <v>231</v>
      </c>
      <c r="C568" s="169" t="s">
        <v>89</v>
      </c>
      <c r="D568" s="13"/>
      <c r="E568" s="283">
        <f>SUM(E569:E570)</f>
        <v>335</v>
      </c>
      <c r="F568" s="143"/>
      <c r="G568" s="38"/>
      <c r="H568" s="38"/>
    </row>
    <row r="569" spans="1:8" ht="30" hidden="1" x14ac:dyDescent="0.25">
      <c r="A569" s="109" t="s">
        <v>231</v>
      </c>
      <c r="B569" s="109" t="s">
        <v>231</v>
      </c>
      <c r="C569" s="32" t="s">
        <v>93</v>
      </c>
      <c r="D569" s="13"/>
      <c r="E569" s="284">
        <v>250</v>
      </c>
      <c r="F569" s="143"/>
      <c r="G569" s="38"/>
      <c r="H569" s="38"/>
    </row>
    <row r="570" spans="1:8" ht="45" hidden="1" x14ac:dyDescent="0.25">
      <c r="A570" s="109" t="s">
        <v>231</v>
      </c>
      <c r="B570" s="109" t="s">
        <v>231</v>
      </c>
      <c r="C570" s="285" t="s">
        <v>146</v>
      </c>
      <c r="D570" s="13"/>
      <c r="E570" s="286">
        <v>85</v>
      </c>
      <c r="F570" s="143"/>
      <c r="G570" s="38"/>
      <c r="H570" s="38"/>
    </row>
    <row r="571" spans="1:8" hidden="1" x14ac:dyDescent="0.25">
      <c r="A571" s="109" t="s">
        <v>231</v>
      </c>
      <c r="B571" s="109" t="s">
        <v>231</v>
      </c>
      <c r="C571" s="21" t="s">
        <v>198</v>
      </c>
      <c r="D571" s="13"/>
      <c r="E571" s="286">
        <f>E557</f>
        <v>200</v>
      </c>
      <c r="F571" s="143"/>
      <c r="G571" s="38"/>
      <c r="H571" s="38"/>
    </row>
    <row r="572" spans="1:8" hidden="1" x14ac:dyDescent="0.25">
      <c r="A572" s="109" t="s">
        <v>231</v>
      </c>
      <c r="B572" s="109" t="s">
        <v>231</v>
      </c>
      <c r="C572" s="21" t="s">
        <v>200</v>
      </c>
      <c r="D572" s="13"/>
      <c r="E572" s="286"/>
      <c r="F572" s="143"/>
      <c r="G572" s="38"/>
      <c r="H572" s="38"/>
    </row>
    <row r="573" spans="1:8" ht="29.25" hidden="1" x14ac:dyDescent="0.25">
      <c r="A573" s="109" t="s">
        <v>231</v>
      </c>
      <c r="B573" s="109" t="s">
        <v>231</v>
      </c>
      <c r="C573" s="21" t="s">
        <v>201</v>
      </c>
      <c r="D573" s="13"/>
      <c r="E573" s="286"/>
      <c r="F573" s="143"/>
      <c r="G573" s="38"/>
      <c r="H573" s="38"/>
    </row>
    <row r="574" spans="1:8" hidden="1" x14ac:dyDescent="0.25">
      <c r="A574" s="109" t="s">
        <v>231</v>
      </c>
      <c r="B574" s="109" t="s">
        <v>231</v>
      </c>
      <c r="C574" s="22" t="s">
        <v>109</v>
      </c>
      <c r="D574" s="13"/>
      <c r="E574" s="287">
        <f>E571</f>
        <v>200</v>
      </c>
      <c r="F574" s="147"/>
      <c r="G574" s="38"/>
      <c r="H574" s="38"/>
    </row>
    <row r="575" spans="1:8" ht="17.25" hidden="1" customHeight="1" x14ac:dyDescent="0.25">
      <c r="A575" s="109" t="s">
        <v>231</v>
      </c>
      <c r="B575" s="109" t="s">
        <v>231</v>
      </c>
      <c r="C575" s="30" t="s">
        <v>7</v>
      </c>
      <c r="D575" s="121"/>
      <c r="E575" s="245"/>
      <c r="F575" s="113"/>
      <c r="G575" s="113"/>
      <c r="H575" s="39"/>
    </row>
    <row r="576" spans="1:8" hidden="1" x14ac:dyDescent="0.25">
      <c r="A576" s="109" t="s">
        <v>231</v>
      </c>
      <c r="B576" s="109" t="s">
        <v>231</v>
      </c>
      <c r="C576" s="40" t="s">
        <v>91</v>
      </c>
      <c r="D576" s="24"/>
      <c r="E576" s="245"/>
      <c r="F576" s="113"/>
      <c r="G576" s="224"/>
      <c r="H576" s="225"/>
    </row>
    <row r="577" spans="1:8" ht="17.25" hidden="1" customHeight="1" x14ac:dyDescent="0.25">
      <c r="A577" s="109" t="s">
        <v>231</v>
      </c>
      <c r="B577" s="109" t="s">
        <v>231</v>
      </c>
      <c r="C577" s="1" t="s">
        <v>43</v>
      </c>
      <c r="D577" s="24">
        <v>330</v>
      </c>
      <c r="E577" s="245"/>
      <c r="F577" s="279">
        <v>8</v>
      </c>
      <c r="G577" s="2">
        <f>ROUND(H577/D577,0)</f>
        <v>0</v>
      </c>
      <c r="H577" s="39">
        <f>ROUND(E577*F577,0)</f>
        <v>0</v>
      </c>
    </row>
    <row r="578" spans="1:8" hidden="1" x14ac:dyDescent="0.25">
      <c r="A578" s="109" t="s">
        <v>231</v>
      </c>
      <c r="B578" s="109" t="s">
        <v>231</v>
      </c>
      <c r="C578" s="30" t="s">
        <v>9</v>
      </c>
      <c r="D578" s="227"/>
      <c r="E578" s="248">
        <f>E577</f>
        <v>0</v>
      </c>
      <c r="F578" s="36" t="e">
        <f>H578/E578</f>
        <v>#DIV/0!</v>
      </c>
      <c r="G578" s="232">
        <f>G577</f>
        <v>0</v>
      </c>
      <c r="H578" s="232">
        <f>H577</f>
        <v>0</v>
      </c>
    </row>
    <row r="579" spans="1:8" hidden="1" x14ac:dyDescent="0.25">
      <c r="A579" s="109" t="s">
        <v>231</v>
      </c>
      <c r="B579" s="109" t="s">
        <v>231</v>
      </c>
      <c r="C579" s="40" t="s">
        <v>18</v>
      </c>
      <c r="D579" s="24"/>
      <c r="E579" s="245"/>
      <c r="F579" s="113"/>
      <c r="G579" s="224"/>
      <c r="H579" s="225"/>
    </row>
    <row r="580" spans="1:8" hidden="1" x14ac:dyDescent="0.25">
      <c r="A580" s="109" t="s">
        <v>231</v>
      </c>
      <c r="B580" s="109" t="s">
        <v>231</v>
      </c>
      <c r="C580" s="25" t="s">
        <v>43</v>
      </c>
      <c r="D580" s="24">
        <v>240</v>
      </c>
      <c r="E580" s="245">
        <v>1830</v>
      </c>
      <c r="F580" s="279">
        <v>2</v>
      </c>
      <c r="G580" s="2">
        <f>ROUND(H580/D580,0)</f>
        <v>15</v>
      </c>
      <c r="H580" s="39">
        <f>ROUND(E580*F580,0)</f>
        <v>3660</v>
      </c>
    </row>
    <row r="581" spans="1:8" ht="15.75" hidden="1" x14ac:dyDescent="0.25">
      <c r="A581" s="109" t="s">
        <v>231</v>
      </c>
      <c r="B581" s="109" t="s">
        <v>231</v>
      </c>
      <c r="C581" s="139" t="s">
        <v>92</v>
      </c>
      <c r="D581" s="24"/>
      <c r="E581" s="248">
        <v>1830</v>
      </c>
      <c r="F581" s="135">
        <f>H581/E581</f>
        <v>2</v>
      </c>
      <c r="G581" s="232">
        <f>G580</f>
        <v>15</v>
      </c>
      <c r="H581" s="232">
        <f>H580</f>
        <v>3660</v>
      </c>
    </row>
    <row r="582" spans="1:8" ht="18" hidden="1" customHeight="1" thickBot="1" x14ac:dyDescent="0.3">
      <c r="A582" s="109" t="s">
        <v>231</v>
      </c>
      <c r="B582" s="109" t="s">
        <v>231</v>
      </c>
      <c r="C582" s="26" t="s">
        <v>86</v>
      </c>
      <c r="D582" s="233"/>
      <c r="E582" s="259">
        <f>E578+E581</f>
        <v>1830</v>
      </c>
      <c r="F582" s="235">
        <f>H582/E582</f>
        <v>2</v>
      </c>
      <c r="G582" s="236">
        <f>G578+G581</f>
        <v>15</v>
      </c>
      <c r="H582" s="236">
        <f>H578+H581</f>
        <v>3660</v>
      </c>
    </row>
    <row r="583" spans="1:8" s="159" customFormat="1" ht="15.75" hidden="1" thickBot="1" x14ac:dyDescent="0.3">
      <c r="A583" s="109" t="s">
        <v>231</v>
      </c>
      <c r="B583" s="109" t="s">
        <v>231</v>
      </c>
      <c r="C583" s="154" t="s">
        <v>220</v>
      </c>
      <c r="D583" s="155"/>
      <c r="E583" s="156"/>
      <c r="F583" s="157"/>
      <c r="G583" s="158"/>
      <c r="H583" s="157"/>
    </row>
    <row r="584" spans="1:8" s="172" customFormat="1" ht="43.5" hidden="1" x14ac:dyDescent="0.25">
      <c r="A584" s="104">
        <v>1</v>
      </c>
      <c r="B584" s="109" t="s">
        <v>232</v>
      </c>
      <c r="C584" s="674" t="s">
        <v>415</v>
      </c>
      <c r="D584" s="176"/>
      <c r="E584" s="288"/>
      <c r="F584" s="225"/>
      <c r="G584" s="225"/>
      <c r="H584" s="225"/>
    </row>
    <row r="585" spans="1:8" s="172" customFormat="1" hidden="1" x14ac:dyDescent="0.25">
      <c r="A585" s="104">
        <v>1</v>
      </c>
      <c r="B585" s="109" t="s">
        <v>232</v>
      </c>
      <c r="C585" s="112" t="s">
        <v>4</v>
      </c>
      <c r="D585" s="121"/>
      <c r="E585" s="223"/>
      <c r="F585" s="39"/>
      <c r="G585" s="39"/>
      <c r="H585" s="39"/>
    </row>
    <row r="586" spans="1:8" s="172" customFormat="1" ht="15" hidden="1" customHeight="1" x14ac:dyDescent="0.25">
      <c r="A586" s="104">
        <v>1</v>
      </c>
      <c r="B586" s="109" t="s">
        <v>232</v>
      </c>
      <c r="C586" s="117" t="s">
        <v>32</v>
      </c>
      <c r="D586" s="24">
        <v>340</v>
      </c>
      <c r="E586" s="289"/>
      <c r="F586" s="290">
        <v>10</v>
      </c>
      <c r="G586" s="2">
        <f t="shared" ref="G586:G599" si="14">ROUND(H586/D586,0)</f>
        <v>0</v>
      </c>
      <c r="H586" s="39">
        <f t="shared" ref="H586:H599" si="15">ROUND(E586*F586,0)</f>
        <v>0</v>
      </c>
    </row>
    <row r="587" spans="1:8" s="172" customFormat="1" ht="15" hidden="1" customHeight="1" x14ac:dyDescent="0.25">
      <c r="A587" s="104">
        <v>1</v>
      </c>
      <c r="B587" s="109" t="s">
        <v>232</v>
      </c>
      <c r="C587" s="117" t="s">
        <v>21</v>
      </c>
      <c r="D587" s="24">
        <v>340</v>
      </c>
      <c r="E587" s="289"/>
      <c r="F587" s="290">
        <v>6.1</v>
      </c>
      <c r="G587" s="2">
        <f t="shared" si="14"/>
        <v>0</v>
      </c>
      <c r="H587" s="39">
        <f t="shared" si="15"/>
        <v>0</v>
      </c>
    </row>
    <row r="588" spans="1:8" s="172" customFormat="1" hidden="1" x14ac:dyDescent="0.25">
      <c r="A588" s="104">
        <v>1</v>
      </c>
      <c r="B588" s="109" t="s">
        <v>232</v>
      </c>
      <c r="C588" s="117" t="s">
        <v>206</v>
      </c>
      <c r="D588" s="24">
        <v>340</v>
      </c>
      <c r="E588" s="289"/>
      <c r="F588" s="290">
        <v>8.4</v>
      </c>
      <c r="G588" s="2">
        <f t="shared" si="14"/>
        <v>0</v>
      </c>
      <c r="H588" s="39">
        <f t="shared" si="15"/>
        <v>0</v>
      </c>
    </row>
    <row r="589" spans="1:8" s="172" customFormat="1" hidden="1" x14ac:dyDescent="0.25">
      <c r="A589" s="104">
        <v>1</v>
      </c>
      <c r="B589" s="109" t="s">
        <v>232</v>
      </c>
      <c r="C589" s="117" t="s">
        <v>70</v>
      </c>
      <c r="D589" s="24">
        <v>340</v>
      </c>
      <c r="E589" s="289"/>
      <c r="F589" s="290">
        <v>14.3</v>
      </c>
      <c r="G589" s="2">
        <f t="shared" si="14"/>
        <v>0</v>
      </c>
      <c r="H589" s="39">
        <f t="shared" si="15"/>
        <v>0</v>
      </c>
    </row>
    <row r="590" spans="1:8" s="172" customFormat="1" hidden="1" x14ac:dyDescent="0.25">
      <c r="A590" s="104">
        <v>1</v>
      </c>
      <c r="B590" s="109" t="s">
        <v>232</v>
      </c>
      <c r="C590" s="117" t="s">
        <v>20</v>
      </c>
      <c r="D590" s="24">
        <v>340</v>
      </c>
      <c r="E590" s="289"/>
      <c r="F590" s="290">
        <v>10</v>
      </c>
      <c r="G590" s="2">
        <f t="shared" si="14"/>
        <v>0</v>
      </c>
      <c r="H590" s="39">
        <f t="shared" si="15"/>
        <v>0</v>
      </c>
    </row>
    <row r="591" spans="1:8" s="172" customFormat="1" hidden="1" x14ac:dyDescent="0.25">
      <c r="A591" s="104">
        <v>1</v>
      </c>
      <c r="B591" s="109" t="s">
        <v>232</v>
      </c>
      <c r="C591" s="117" t="s">
        <v>55</v>
      </c>
      <c r="D591" s="24">
        <v>340</v>
      </c>
      <c r="E591" s="289"/>
      <c r="F591" s="290">
        <v>12</v>
      </c>
      <c r="G591" s="2">
        <f t="shared" si="14"/>
        <v>0</v>
      </c>
      <c r="H591" s="39">
        <f t="shared" si="15"/>
        <v>0</v>
      </c>
    </row>
    <row r="592" spans="1:8" s="172" customFormat="1" hidden="1" x14ac:dyDescent="0.25">
      <c r="A592" s="104"/>
      <c r="B592" s="109" t="s">
        <v>232</v>
      </c>
      <c r="C592" s="117" t="s">
        <v>77</v>
      </c>
      <c r="D592" s="24">
        <v>340</v>
      </c>
      <c r="E592" s="289"/>
      <c r="F592" s="290">
        <v>10</v>
      </c>
      <c r="G592" s="2">
        <f t="shared" si="14"/>
        <v>0</v>
      </c>
      <c r="H592" s="39">
        <f t="shared" si="15"/>
        <v>0</v>
      </c>
    </row>
    <row r="593" spans="1:10" s="172" customFormat="1" hidden="1" x14ac:dyDescent="0.25">
      <c r="A593" s="104"/>
      <c r="B593" s="109" t="s">
        <v>232</v>
      </c>
      <c r="C593" s="117" t="s">
        <v>165</v>
      </c>
      <c r="D593" s="24">
        <v>340</v>
      </c>
      <c r="E593" s="289"/>
      <c r="F593" s="290">
        <v>6</v>
      </c>
      <c r="G593" s="2">
        <f t="shared" si="14"/>
        <v>0</v>
      </c>
      <c r="H593" s="39">
        <f t="shared" si="15"/>
        <v>0</v>
      </c>
    </row>
    <row r="594" spans="1:10" s="172" customFormat="1" hidden="1" x14ac:dyDescent="0.25">
      <c r="A594" s="104"/>
      <c r="B594" s="109" t="s">
        <v>232</v>
      </c>
      <c r="C594" s="117" t="s">
        <v>43</v>
      </c>
      <c r="D594" s="24">
        <v>340</v>
      </c>
      <c r="E594" s="289"/>
      <c r="F594" s="290">
        <v>7.4</v>
      </c>
      <c r="G594" s="2">
        <f t="shared" si="14"/>
        <v>0</v>
      </c>
      <c r="H594" s="39">
        <f t="shared" si="15"/>
        <v>0</v>
      </c>
    </row>
    <row r="595" spans="1:10" s="172" customFormat="1" hidden="1" x14ac:dyDescent="0.25">
      <c r="A595" s="104"/>
      <c r="B595" s="109" t="s">
        <v>232</v>
      </c>
      <c r="C595" s="117" t="s">
        <v>19</v>
      </c>
      <c r="D595" s="24">
        <v>340</v>
      </c>
      <c r="E595" s="289"/>
      <c r="F595" s="290">
        <v>10.6</v>
      </c>
      <c r="G595" s="2">
        <f t="shared" si="14"/>
        <v>0</v>
      </c>
      <c r="H595" s="39">
        <f t="shared" si="15"/>
        <v>0</v>
      </c>
    </row>
    <row r="596" spans="1:10" s="172" customFormat="1" hidden="1" x14ac:dyDescent="0.25">
      <c r="A596" s="104">
        <v>1</v>
      </c>
      <c r="B596" s="109" t="s">
        <v>232</v>
      </c>
      <c r="C596" s="117" t="s">
        <v>56</v>
      </c>
      <c r="D596" s="24">
        <v>340</v>
      </c>
      <c r="E596" s="289"/>
      <c r="F596" s="290">
        <v>11.5</v>
      </c>
      <c r="G596" s="2">
        <f t="shared" si="14"/>
        <v>0</v>
      </c>
      <c r="H596" s="39">
        <f t="shared" si="15"/>
        <v>0</v>
      </c>
    </row>
    <row r="597" spans="1:10" s="172" customFormat="1" hidden="1" x14ac:dyDescent="0.25">
      <c r="A597" s="104">
        <v>1</v>
      </c>
      <c r="B597" s="109" t="s">
        <v>232</v>
      </c>
      <c r="C597" s="117" t="s">
        <v>11</v>
      </c>
      <c r="D597" s="24">
        <v>340</v>
      </c>
      <c r="E597" s="289"/>
      <c r="F597" s="290">
        <v>8.9</v>
      </c>
      <c r="G597" s="2">
        <f t="shared" si="14"/>
        <v>0</v>
      </c>
      <c r="H597" s="39">
        <f t="shared" si="15"/>
        <v>0</v>
      </c>
    </row>
    <row r="598" spans="1:10" s="172" customFormat="1" hidden="1" x14ac:dyDescent="0.25">
      <c r="A598" s="104">
        <v>1</v>
      </c>
      <c r="B598" s="109" t="s">
        <v>232</v>
      </c>
      <c r="C598" s="117" t="s">
        <v>10</v>
      </c>
      <c r="D598" s="24">
        <v>340</v>
      </c>
      <c r="E598" s="289"/>
      <c r="F598" s="290">
        <v>8.4</v>
      </c>
      <c r="G598" s="2">
        <f t="shared" si="14"/>
        <v>0</v>
      </c>
      <c r="H598" s="39">
        <f t="shared" si="15"/>
        <v>0</v>
      </c>
    </row>
    <row r="599" spans="1:10" s="172" customFormat="1" hidden="1" x14ac:dyDescent="0.25">
      <c r="A599" s="104"/>
      <c r="B599" s="109"/>
      <c r="C599" s="117" t="s">
        <v>289</v>
      </c>
      <c r="D599" s="24">
        <v>310</v>
      </c>
      <c r="E599" s="289"/>
      <c r="F599" s="290">
        <v>10</v>
      </c>
      <c r="G599" s="2">
        <f t="shared" si="14"/>
        <v>0</v>
      </c>
      <c r="H599" s="39">
        <f t="shared" si="15"/>
        <v>0</v>
      </c>
    </row>
    <row r="600" spans="1:10" s="172" customFormat="1" ht="15.75" hidden="1" thickBot="1" x14ac:dyDescent="0.3">
      <c r="A600" s="104">
        <v>1</v>
      </c>
      <c r="B600" s="109" t="s">
        <v>232</v>
      </c>
      <c r="C600" s="280" t="s">
        <v>5</v>
      </c>
      <c r="D600" s="190"/>
      <c r="E600" s="291">
        <f>SUM(E586:E599)</f>
        <v>0</v>
      </c>
      <c r="F600" s="143" t="e">
        <f>H600/E600</f>
        <v>#DIV/0!</v>
      </c>
      <c r="G600" s="292">
        <f t="shared" ref="G600:H600" si="16">SUM(G586:G599)</f>
        <v>0</v>
      </c>
      <c r="H600" s="292">
        <f t="shared" si="16"/>
        <v>0</v>
      </c>
    </row>
    <row r="601" spans="1:10" s="172" customFormat="1" ht="16.5" hidden="1" customHeight="1" thickBot="1" x14ac:dyDescent="0.3">
      <c r="A601" s="104">
        <v>1</v>
      </c>
      <c r="B601" s="109" t="s">
        <v>232</v>
      </c>
      <c r="C601" s="249" t="s">
        <v>220</v>
      </c>
      <c r="D601" s="155"/>
      <c r="E601" s="201"/>
      <c r="F601" s="157"/>
      <c r="G601" s="157"/>
      <c r="H601" s="157"/>
    </row>
    <row r="602" spans="1:10" s="172" customFormat="1" ht="52.5" hidden="1" customHeight="1" x14ac:dyDescent="0.25">
      <c r="A602" s="104">
        <v>1</v>
      </c>
      <c r="B602" s="109" t="s">
        <v>233</v>
      </c>
      <c r="C602" s="674" t="s">
        <v>416</v>
      </c>
      <c r="D602" s="293"/>
      <c r="E602" s="223"/>
      <c r="F602" s="39"/>
      <c r="G602" s="39"/>
      <c r="H602" s="39"/>
    </row>
    <row r="603" spans="1:10" s="172" customFormat="1" ht="15.75" hidden="1" x14ac:dyDescent="0.25">
      <c r="A603" s="104">
        <v>1</v>
      </c>
      <c r="B603" s="109" t="s">
        <v>233</v>
      </c>
      <c r="C603" s="294" t="s">
        <v>4</v>
      </c>
      <c r="D603" s="121"/>
      <c r="E603" s="223"/>
      <c r="F603" s="39"/>
      <c r="G603" s="39"/>
      <c r="H603" s="39"/>
    </row>
    <row r="604" spans="1:10" s="172" customFormat="1" hidden="1" x14ac:dyDescent="0.25">
      <c r="A604" s="104">
        <v>1</v>
      </c>
      <c r="B604" s="109" t="s">
        <v>233</v>
      </c>
      <c r="C604" s="25" t="s">
        <v>20</v>
      </c>
      <c r="D604" s="24">
        <v>340</v>
      </c>
      <c r="E604" s="288"/>
      <c r="F604" s="290">
        <v>3</v>
      </c>
      <c r="G604" s="2">
        <f>ROUND(H604/D604,0)</f>
        <v>0</v>
      </c>
      <c r="H604" s="39">
        <f>ROUND(E604*F604,0)</f>
        <v>0</v>
      </c>
    </row>
    <row r="605" spans="1:10" s="172" customFormat="1" hidden="1" x14ac:dyDescent="0.25">
      <c r="A605" s="104">
        <v>1</v>
      </c>
      <c r="B605" s="109" t="s">
        <v>233</v>
      </c>
      <c r="C605" s="25" t="s">
        <v>59</v>
      </c>
      <c r="D605" s="24">
        <v>340</v>
      </c>
      <c r="E605" s="288"/>
      <c r="F605" s="290">
        <v>5</v>
      </c>
      <c r="G605" s="2">
        <f>ROUND(H605/D605,0)</f>
        <v>0</v>
      </c>
      <c r="H605" s="39">
        <f>ROUND(E605*F605,0)</f>
        <v>0</v>
      </c>
    </row>
    <row r="606" spans="1:10" s="172" customFormat="1" ht="18.75" hidden="1" customHeight="1" x14ac:dyDescent="0.25">
      <c r="A606" s="104">
        <v>1</v>
      </c>
      <c r="B606" s="109" t="s">
        <v>233</v>
      </c>
      <c r="C606" s="295" t="s">
        <v>5</v>
      </c>
      <c r="D606" s="190"/>
      <c r="E606" s="296">
        <f>SUM(E604:E605)</f>
        <v>0</v>
      </c>
      <c r="F606" s="143" t="e">
        <f>H606/E606</f>
        <v>#DIV/0!</v>
      </c>
      <c r="G606" s="38">
        <f>G604+G605</f>
        <v>0</v>
      </c>
      <c r="H606" s="38">
        <f>H604+H605</f>
        <v>0</v>
      </c>
      <c r="I606" s="297"/>
      <c r="J606" s="298"/>
    </row>
    <row r="607" spans="1:10" s="172" customFormat="1" ht="18.75" hidden="1" customHeight="1" x14ac:dyDescent="0.25">
      <c r="A607" s="104"/>
      <c r="B607" s="109" t="s">
        <v>233</v>
      </c>
      <c r="C607" s="120" t="s">
        <v>213</v>
      </c>
      <c r="D607" s="281"/>
      <c r="E607" s="237"/>
      <c r="F607" s="143"/>
      <c r="G607" s="239"/>
      <c r="H607" s="239"/>
      <c r="I607" s="299"/>
      <c r="J607" s="298"/>
    </row>
    <row r="608" spans="1:10" s="172" customFormat="1" hidden="1" x14ac:dyDescent="0.25">
      <c r="A608" s="104">
        <v>1</v>
      </c>
      <c r="B608" s="109" t="s">
        <v>233</v>
      </c>
      <c r="C608" s="12" t="s">
        <v>108</v>
      </c>
      <c r="D608" s="41"/>
      <c r="E608" s="103"/>
      <c r="F608" s="2"/>
      <c r="G608" s="2"/>
      <c r="H608" s="2"/>
    </row>
    <row r="609" spans="1:8" s="172" customFormat="1" hidden="1" x14ac:dyDescent="0.25">
      <c r="A609" s="104">
        <v>1</v>
      </c>
      <c r="B609" s="109" t="s">
        <v>233</v>
      </c>
      <c r="C609" s="12" t="s">
        <v>96</v>
      </c>
      <c r="D609" s="41"/>
      <c r="E609" s="103">
        <f>E619+E620</f>
        <v>0</v>
      </c>
      <c r="F609" s="2"/>
      <c r="G609" s="2"/>
      <c r="H609" s="2"/>
    </row>
    <row r="610" spans="1:8" s="172" customFormat="1" hidden="1" x14ac:dyDescent="0.25">
      <c r="A610" s="104"/>
      <c r="B610" s="109" t="s">
        <v>233</v>
      </c>
      <c r="C610" s="14" t="s">
        <v>296</v>
      </c>
      <c r="D610" s="41"/>
      <c r="E610" s="125">
        <f>E611+E612+E616+E615</f>
        <v>13000</v>
      </c>
      <c r="F610" s="2"/>
      <c r="G610" s="2"/>
      <c r="H610" s="2"/>
    </row>
    <row r="611" spans="1:8" s="172" customFormat="1" hidden="1" x14ac:dyDescent="0.25">
      <c r="A611" s="104"/>
      <c r="B611" s="109" t="s">
        <v>233</v>
      </c>
      <c r="C611" s="15" t="s">
        <v>297</v>
      </c>
      <c r="D611" s="41"/>
      <c r="E611" s="103"/>
      <c r="F611" s="2"/>
      <c r="G611" s="2"/>
      <c r="H611" s="2"/>
    </row>
    <row r="612" spans="1:8" s="172" customFormat="1" ht="30" hidden="1" x14ac:dyDescent="0.25">
      <c r="A612" s="104"/>
      <c r="B612" s="109" t="s">
        <v>233</v>
      </c>
      <c r="C612" s="16" t="s">
        <v>298</v>
      </c>
      <c r="D612" s="41"/>
      <c r="E612" s="103">
        <f>E613+E614</f>
        <v>13000</v>
      </c>
      <c r="F612" s="2"/>
      <c r="G612" s="2"/>
      <c r="H612" s="2"/>
    </row>
    <row r="613" spans="1:8" s="124" customFormat="1" hidden="1" x14ac:dyDescent="0.25">
      <c r="A613" s="104"/>
      <c r="B613" s="109" t="s">
        <v>233</v>
      </c>
      <c r="C613" s="15" t="s">
        <v>299</v>
      </c>
      <c r="D613" s="13"/>
      <c r="E613" s="103">
        <v>13000</v>
      </c>
      <c r="F613" s="10"/>
      <c r="G613" s="10"/>
      <c r="H613" s="10"/>
    </row>
    <row r="614" spans="1:8" s="172" customFormat="1" ht="45" hidden="1" x14ac:dyDescent="0.25">
      <c r="A614" s="104"/>
      <c r="B614" s="109" t="s">
        <v>233</v>
      </c>
      <c r="C614" s="15" t="s">
        <v>301</v>
      </c>
      <c r="D614" s="41"/>
      <c r="E614" s="103"/>
      <c r="F614" s="2"/>
      <c r="G614" s="2"/>
      <c r="H614" s="2"/>
    </row>
    <row r="615" spans="1:8" s="172" customFormat="1" ht="60" hidden="1" x14ac:dyDescent="0.25">
      <c r="A615" s="104"/>
      <c r="B615" s="109" t="s">
        <v>233</v>
      </c>
      <c r="C615" s="15" t="s">
        <v>309</v>
      </c>
      <c r="D615" s="41"/>
      <c r="E615" s="103"/>
      <c r="F615" s="2"/>
      <c r="G615" s="2"/>
      <c r="H615" s="2"/>
    </row>
    <row r="616" spans="1:8" s="172" customFormat="1" ht="45" hidden="1" x14ac:dyDescent="0.25">
      <c r="A616" s="104"/>
      <c r="B616" s="109" t="s">
        <v>233</v>
      </c>
      <c r="C616" s="18" t="s">
        <v>310</v>
      </c>
      <c r="D616" s="41"/>
      <c r="E616" s="103"/>
      <c r="F616" s="2"/>
      <c r="G616" s="2"/>
      <c r="H616" s="2"/>
    </row>
    <row r="617" spans="1:8" s="172" customFormat="1" hidden="1" x14ac:dyDescent="0.25">
      <c r="A617" s="104"/>
      <c r="B617" s="109" t="s">
        <v>233</v>
      </c>
      <c r="C617" s="14" t="s">
        <v>303</v>
      </c>
      <c r="D617" s="41"/>
      <c r="E617" s="103"/>
      <c r="F617" s="2"/>
      <c r="G617" s="2"/>
      <c r="H617" s="2"/>
    </row>
    <row r="618" spans="1:8" s="172" customFormat="1" ht="29.25" hidden="1" x14ac:dyDescent="0.25">
      <c r="A618" s="104"/>
      <c r="B618" s="109" t="s">
        <v>233</v>
      </c>
      <c r="C618" s="14" t="s">
        <v>306</v>
      </c>
      <c r="D618" s="41"/>
      <c r="E618" s="103"/>
      <c r="F618" s="2"/>
      <c r="G618" s="2"/>
      <c r="H618" s="2"/>
    </row>
    <row r="619" spans="1:8" s="172" customFormat="1" ht="30" hidden="1" x14ac:dyDescent="0.25">
      <c r="A619" s="104">
        <v>1</v>
      </c>
      <c r="B619" s="109" t="s">
        <v>233</v>
      </c>
      <c r="C619" s="19" t="s">
        <v>115</v>
      </c>
      <c r="D619" s="41"/>
      <c r="E619" s="103"/>
      <c r="F619" s="2"/>
      <c r="G619" s="2"/>
      <c r="H619" s="2"/>
    </row>
    <row r="620" spans="1:8" s="172" customFormat="1" ht="57.75" hidden="1" x14ac:dyDescent="0.25">
      <c r="A620" s="104">
        <v>1</v>
      </c>
      <c r="B620" s="109" t="s">
        <v>233</v>
      </c>
      <c r="C620" s="14" t="s">
        <v>307</v>
      </c>
      <c r="D620" s="41"/>
      <c r="E620" s="103"/>
      <c r="F620" s="2"/>
      <c r="G620" s="2"/>
      <c r="H620" s="2"/>
    </row>
    <row r="621" spans="1:8" s="172" customFormat="1" hidden="1" x14ac:dyDescent="0.25">
      <c r="A621" s="104">
        <v>1</v>
      </c>
      <c r="B621" s="109" t="s">
        <v>233</v>
      </c>
      <c r="C621" s="169" t="s">
        <v>89</v>
      </c>
      <c r="D621" s="300"/>
      <c r="E621" s="146">
        <f>SUM(E622:E645)</f>
        <v>11970</v>
      </c>
      <c r="F621" s="113"/>
      <c r="G621" s="113"/>
      <c r="H621" s="39"/>
    </row>
    <row r="622" spans="1:8" s="172" customFormat="1" ht="30" hidden="1" x14ac:dyDescent="0.25">
      <c r="A622" s="104">
        <v>1</v>
      </c>
      <c r="B622" s="109" t="s">
        <v>233</v>
      </c>
      <c r="C622" s="32" t="s">
        <v>123</v>
      </c>
      <c r="D622" s="13"/>
      <c r="E622" s="183">
        <v>300</v>
      </c>
      <c r="F622" s="43"/>
      <c r="G622" s="43"/>
      <c r="H622" s="43"/>
    </row>
    <row r="623" spans="1:8" s="172" customFormat="1" ht="30" hidden="1" x14ac:dyDescent="0.25">
      <c r="A623" s="104">
        <v>1</v>
      </c>
      <c r="B623" s="109" t="s">
        <v>233</v>
      </c>
      <c r="C623" s="32" t="s">
        <v>124</v>
      </c>
      <c r="D623" s="13"/>
      <c r="E623" s="183">
        <v>300</v>
      </c>
      <c r="F623" s="43"/>
      <c r="G623" s="43"/>
      <c r="H623" s="43"/>
    </row>
    <row r="624" spans="1:8" s="172" customFormat="1" hidden="1" x14ac:dyDescent="0.25">
      <c r="A624" s="104">
        <v>1</v>
      </c>
      <c r="B624" s="109" t="s">
        <v>233</v>
      </c>
      <c r="C624" s="32" t="s">
        <v>133</v>
      </c>
      <c r="D624" s="13"/>
      <c r="E624" s="183">
        <v>30</v>
      </c>
      <c r="F624" s="43"/>
      <c r="G624" s="43"/>
      <c r="H624" s="43"/>
    </row>
    <row r="625" spans="1:8" s="172" customFormat="1" ht="45" hidden="1" x14ac:dyDescent="0.25">
      <c r="A625" s="104">
        <v>1</v>
      </c>
      <c r="B625" s="109" t="s">
        <v>233</v>
      </c>
      <c r="C625" s="32" t="s">
        <v>134</v>
      </c>
      <c r="D625" s="13"/>
      <c r="E625" s="183">
        <v>1000</v>
      </c>
      <c r="F625" s="43"/>
      <c r="G625" s="43"/>
      <c r="H625" s="43"/>
    </row>
    <row r="626" spans="1:8" s="172" customFormat="1" hidden="1" x14ac:dyDescent="0.25">
      <c r="A626" s="104"/>
      <c r="B626" s="109"/>
      <c r="C626" s="32" t="s">
        <v>53</v>
      </c>
      <c r="D626" s="13"/>
      <c r="E626" s="183">
        <v>100</v>
      </c>
      <c r="F626" s="43"/>
      <c r="G626" s="43"/>
      <c r="H626" s="43"/>
    </row>
    <row r="627" spans="1:8" s="172" customFormat="1" hidden="1" x14ac:dyDescent="0.25">
      <c r="A627" s="104">
        <v>1</v>
      </c>
      <c r="B627" s="109" t="s">
        <v>233</v>
      </c>
      <c r="C627" s="32" t="s">
        <v>17</v>
      </c>
      <c r="D627" s="13"/>
      <c r="E627" s="183">
        <v>150</v>
      </c>
      <c r="F627" s="43"/>
      <c r="G627" s="43"/>
      <c r="H627" s="43"/>
    </row>
    <row r="628" spans="1:8" s="172" customFormat="1" ht="30" hidden="1" x14ac:dyDescent="0.25">
      <c r="A628" s="104">
        <v>1</v>
      </c>
      <c r="B628" s="109" t="s">
        <v>233</v>
      </c>
      <c r="C628" s="126" t="s">
        <v>139</v>
      </c>
      <c r="D628" s="13"/>
      <c r="E628" s="183">
        <v>1500</v>
      </c>
      <c r="F628" s="43"/>
      <c r="G628" s="43"/>
      <c r="H628" s="43"/>
    </row>
    <row r="629" spans="1:8" s="172" customFormat="1" hidden="1" x14ac:dyDescent="0.25">
      <c r="A629" s="104">
        <v>1</v>
      </c>
      <c r="B629" s="109" t="s">
        <v>233</v>
      </c>
      <c r="C629" s="32" t="s">
        <v>147</v>
      </c>
      <c r="D629" s="13"/>
      <c r="E629" s="183">
        <v>400</v>
      </c>
      <c r="F629" s="43"/>
      <c r="G629" s="43"/>
      <c r="H629" s="43"/>
    </row>
    <row r="630" spans="1:8" s="172" customFormat="1" hidden="1" x14ac:dyDescent="0.25">
      <c r="A630" s="104"/>
      <c r="B630" s="109" t="s">
        <v>233</v>
      </c>
      <c r="C630" s="32" t="s">
        <v>204</v>
      </c>
      <c r="D630" s="13"/>
      <c r="E630" s="183">
        <v>120</v>
      </c>
      <c r="F630" s="43"/>
      <c r="G630" s="43"/>
      <c r="H630" s="43"/>
    </row>
    <row r="631" spans="1:8" s="172" customFormat="1" hidden="1" x14ac:dyDescent="0.25">
      <c r="A631" s="104">
        <v>1</v>
      </c>
      <c r="B631" s="109" t="s">
        <v>233</v>
      </c>
      <c r="C631" s="127" t="s">
        <v>217</v>
      </c>
      <c r="D631" s="13"/>
      <c r="E631" s="183">
        <v>195</v>
      </c>
      <c r="F631" s="43"/>
      <c r="G631" s="43"/>
      <c r="H631" s="43"/>
    </row>
    <row r="632" spans="1:8" s="172" customFormat="1" ht="51" hidden="1" customHeight="1" x14ac:dyDescent="0.25">
      <c r="A632" s="104">
        <v>1</v>
      </c>
      <c r="B632" s="109" t="s">
        <v>233</v>
      </c>
      <c r="C632" s="208" t="s">
        <v>282</v>
      </c>
      <c r="D632" s="13"/>
      <c r="E632" s="183">
        <v>2100</v>
      </c>
      <c r="F632" s="43"/>
      <c r="G632" s="43"/>
      <c r="H632" s="43"/>
    </row>
    <row r="633" spans="1:8" s="172" customFormat="1" hidden="1" x14ac:dyDescent="0.25">
      <c r="A633" s="104"/>
      <c r="B633" s="109"/>
      <c r="C633" s="32" t="s">
        <v>120</v>
      </c>
      <c r="D633" s="13"/>
      <c r="E633" s="183">
        <v>300</v>
      </c>
      <c r="F633" s="43"/>
      <c r="G633" s="43"/>
      <c r="H633" s="43"/>
    </row>
    <row r="634" spans="1:8" s="172" customFormat="1" hidden="1" x14ac:dyDescent="0.25">
      <c r="A634" s="104">
        <v>1</v>
      </c>
      <c r="B634" s="109" t="s">
        <v>233</v>
      </c>
      <c r="C634" s="32" t="s">
        <v>327</v>
      </c>
      <c r="D634" s="13"/>
      <c r="E634" s="183">
        <v>100</v>
      </c>
      <c r="F634" s="43"/>
      <c r="G634" s="43"/>
      <c r="H634" s="43"/>
    </row>
    <row r="635" spans="1:8" s="172" customFormat="1" hidden="1" x14ac:dyDescent="0.25">
      <c r="A635" s="104">
        <v>1</v>
      </c>
      <c r="B635" s="109" t="s">
        <v>233</v>
      </c>
      <c r="C635" s="32" t="s">
        <v>50</v>
      </c>
      <c r="D635" s="13"/>
      <c r="E635" s="183">
        <v>65</v>
      </c>
      <c r="F635" s="43"/>
      <c r="G635" s="43"/>
      <c r="H635" s="43"/>
    </row>
    <row r="636" spans="1:8" s="172" customFormat="1" ht="20.25" hidden="1" customHeight="1" x14ac:dyDescent="0.25">
      <c r="A636" s="104">
        <v>1</v>
      </c>
      <c r="B636" s="109" t="s">
        <v>233</v>
      </c>
      <c r="C636" s="32" t="s">
        <v>52</v>
      </c>
      <c r="D636" s="13"/>
      <c r="E636" s="183">
        <v>30</v>
      </c>
      <c r="F636" s="43"/>
      <c r="G636" s="43"/>
      <c r="H636" s="43"/>
    </row>
    <row r="637" spans="1:8" s="172" customFormat="1" ht="30" hidden="1" x14ac:dyDescent="0.25">
      <c r="A637" s="104"/>
      <c r="B637" s="109" t="s">
        <v>233</v>
      </c>
      <c r="C637" s="222" t="s">
        <v>99</v>
      </c>
      <c r="D637" s="13"/>
      <c r="E637" s="183">
        <v>15</v>
      </c>
      <c r="F637" s="43"/>
      <c r="G637" s="43"/>
      <c r="H637" s="43"/>
    </row>
    <row r="638" spans="1:8" s="172" customFormat="1" ht="23.25" hidden="1" customHeight="1" x14ac:dyDescent="0.25">
      <c r="A638" s="104">
        <v>1</v>
      </c>
      <c r="B638" s="109" t="s">
        <v>233</v>
      </c>
      <c r="C638" s="127" t="s">
        <v>182</v>
      </c>
      <c r="D638" s="13"/>
      <c r="E638" s="183">
        <v>150</v>
      </c>
      <c r="F638" s="43"/>
      <c r="G638" s="43"/>
      <c r="H638" s="43"/>
    </row>
    <row r="639" spans="1:8" s="172" customFormat="1" ht="30" hidden="1" x14ac:dyDescent="0.25">
      <c r="A639" s="104"/>
      <c r="B639" s="109" t="s">
        <v>233</v>
      </c>
      <c r="C639" s="32" t="s">
        <v>203</v>
      </c>
      <c r="D639" s="13"/>
      <c r="E639" s="183">
        <v>680</v>
      </c>
      <c r="F639" s="43"/>
      <c r="G639" s="43"/>
      <c r="H639" s="43"/>
    </row>
    <row r="640" spans="1:8" s="172" customFormat="1" ht="30" hidden="1" x14ac:dyDescent="0.25">
      <c r="A640" s="104">
        <v>1</v>
      </c>
      <c r="B640" s="109" t="s">
        <v>233</v>
      </c>
      <c r="C640" s="32" t="s">
        <v>202</v>
      </c>
      <c r="D640" s="13"/>
      <c r="E640" s="183">
        <v>2600</v>
      </c>
      <c r="F640" s="43"/>
      <c r="G640" s="43"/>
      <c r="H640" s="43"/>
    </row>
    <row r="641" spans="1:8" s="172" customFormat="1" hidden="1" x14ac:dyDescent="0.25">
      <c r="A641" s="104"/>
      <c r="B641" s="109"/>
      <c r="C641" s="32" t="s">
        <v>15</v>
      </c>
      <c r="D641" s="13"/>
      <c r="E641" s="183">
        <v>200</v>
      </c>
      <c r="F641" s="43"/>
      <c r="G641" s="43"/>
      <c r="H641" s="43"/>
    </row>
    <row r="642" spans="1:8" s="172" customFormat="1" hidden="1" x14ac:dyDescent="0.25">
      <c r="A642" s="104">
        <v>1</v>
      </c>
      <c r="B642" s="109" t="s">
        <v>233</v>
      </c>
      <c r="C642" s="32" t="s">
        <v>27</v>
      </c>
      <c r="D642" s="13"/>
      <c r="E642" s="183">
        <v>100</v>
      </c>
      <c r="F642" s="43"/>
      <c r="G642" s="43"/>
      <c r="H642" s="43"/>
    </row>
    <row r="643" spans="1:8" s="172" customFormat="1" ht="15" hidden="1" customHeight="1" x14ac:dyDescent="0.25">
      <c r="A643" s="104">
        <v>1</v>
      </c>
      <c r="B643" s="109" t="s">
        <v>233</v>
      </c>
      <c r="C643" s="32" t="s">
        <v>143</v>
      </c>
      <c r="D643" s="13"/>
      <c r="E643" s="183">
        <v>15</v>
      </c>
      <c r="F643" s="43"/>
      <c r="G643" s="43"/>
      <c r="H643" s="43"/>
    </row>
    <row r="644" spans="1:8" s="172" customFormat="1" ht="15" hidden="1" customHeight="1" x14ac:dyDescent="0.25">
      <c r="A644" s="104"/>
      <c r="B644" s="109"/>
      <c r="C644" s="301" t="s">
        <v>51</v>
      </c>
      <c r="D644" s="300"/>
      <c r="E644" s="183">
        <v>1400</v>
      </c>
      <c r="F644" s="43"/>
      <c r="G644" s="302"/>
      <c r="H644" s="302"/>
    </row>
    <row r="645" spans="1:8" s="172" customFormat="1" hidden="1" x14ac:dyDescent="0.25">
      <c r="A645" s="104"/>
      <c r="B645" s="109"/>
      <c r="C645" s="301" t="s">
        <v>118</v>
      </c>
      <c r="D645" s="13"/>
      <c r="E645" s="183">
        <v>120</v>
      </c>
      <c r="F645" s="43"/>
      <c r="G645" s="43"/>
      <c r="H645" s="303"/>
    </row>
    <row r="646" spans="1:8" s="172" customFormat="1" hidden="1" x14ac:dyDescent="0.25">
      <c r="A646" s="104"/>
      <c r="B646" s="109" t="s">
        <v>233</v>
      </c>
      <c r="C646" s="21" t="s">
        <v>198</v>
      </c>
      <c r="D646" s="300"/>
      <c r="E646" s="212">
        <f>E610</f>
        <v>13000</v>
      </c>
      <c r="F646" s="43"/>
      <c r="G646" s="302"/>
      <c r="H646" s="43"/>
    </row>
    <row r="647" spans="1:8" s="172" customFormat="1" hidden="1" x14ac:dyDescent="0.25">
      <c r="A647" s="104"/>
      <c r="B647" s="109" t="s">
        <v>233</v>
      </c>
      <c r="C647" s="21" t="s">
        <v>200</v>
      </c>
      <c r="D647" s="267"/>
      <c r="E647" s="304"/>
      <c r="F647" s="302"/>
      <c r="G647" s="303"/>
      <c r="H647" s="303"/>
    </row>
    <row r="648" spans="1:8" s="172" customFormat="1" ht="29.25" hidden="1" x14ac:dyDescent="0.25">
      <c r="A648" s="104"/>
      <c r="B648" s="109" t="s">
        <v>233</v>
      </c>
      <c r="C648" s="21" t="s">
        <v>201</v>
      </c>
      <c r="D648" s="13"/>
      <c r="E648" s="183"/>
      <c r="F648" s="43"/>
      <c r="G648" s="303"/>
      <c r="H648" s="303"/>
    </row>
    <row r="649" spans="1:8" s="172" customFormat="1" hidden="1" x14ac:dyDescent="0.25">
      <c r="A649" s="104"/>
      <c r="B649" s="109" t="s">
        <v>233</v>
      </c>
      <c r="C649" s="22" t="s">
        <v>109</v>
      </c>
      <c r="D649" s="13"/>
      <c r="E649" s="13">
        <f>E646</f>
        <v>13000</v>
      </c>
      <c r="F649" s="13"/>
      <c r="G649" s="13"/>
      <c r="H649" s="13"/>
    </row>
    <row r="650" spans="1:8" s="172" customFormat="1" hidden="1" x14ac:dyDescent="0.25">
      <c r="A650" s="104"/>
      <c r="B650" s="109" t="s">
        <v>233</v>
      </c>
      <c r="C650" s="44" t="s">
        <v>7</v>
      </c>
      <c r="D650" s="44"/>
      <c r="E650" s="305"/>
      <c r="F650" s="44"/>
      <c r="G650" s="44"/>
      <c r="H650" s="30"/>
    </row>
    <row r="651" spans="1:8" s="172" customFormat="1" hidden="1" x14ac:dyDescent="0.25">
      <c r="A651" s="104"/>
      <c r="B651" s="109" t="s">
        <v>233</v>
      </c>
      <c r="C651" s="306" t="s">
        <v>18</v>
      </c>
      <c r="D651" s="306"/>
      <c r="E651" s="306"/>
      <c r="F651" s="306"/>
      <c r="G651" s="306"/>
      <c r="H651" s="40"/>
    </row>
    <row r="652" spans="1:8" s="172" customFormat="1" hidden="1" x14ac:dyDescent="0.25">
      <c r="A652" s="104"/>
      <c r="B652" s="109" t="s">
        <v>233</v>
      </c>
      <c r="C652" s="25" t="s">
        <v>20</v>
      </c>
      <c r="D652" s="307">
        <v>240</v>
      </c>
      <c r="E652" s="307"/>
      <c r="F652" s="307">
        <v>1</v>
      </c>
      <c r="G652" s="2">
        <f>ROUND(H652/D652,0)</f>
        <v>0</v>
      </c>
      <c r="H652" s="2">
        <f>ROUND(E652*F652,0)</f>
        <v>0</v>
      </c>
    </row>
    <row r="653" spans="1:8" s="172" customFormat="1" hidden="1" x14ac:dyDescent="0.25">
      <c r="A653" s="104"/>
      <c r="B653" s="109" t="s">
        <v>233</v>
      </c>
      <c r="C653" s="308" t="s">
        <v>92</v>
      </c>
      <c r="D653" s="307"/>
      <c r="E653" s="309">
        <f>SUM(E651:E652)</f>
        <v>0</v>
      </c>
      <c r="F653" s="309" t="e">
        <f>H653/E653</f>
        <v>#DIV/0!</v>
      </c>
      <c r="G653" s="310">
        <f>G651+G652</f>
        <v>0</v>
      </c>
      <c r="H653" s="310">
        <f>H651+H652</f>
        <v>0</v>
      </c>
    </row>
    <row r="654" spans="1:8" ht="17.25" hidden="1" customHeight="1" x14ac:dyDescent="0.25">
      <c r="A654" s="109" t="s">
        <v>231</v>
      </c>
      <c r="B654" s="109" t="s">
        <v>231</v>
      </c>
      <c r="C654" s="40" t="s">
        <v>91</v>
      </c>
      <c r="D654" s="24"/>
      <c r="E654" s="245"/>
      <c r="F654" s="113"/>
      <c r="G654" s="224"/>
      <c r="H654" s="225"/>
    </row>
    <row r="655" spans="1:8" ht="17.25" hidden="1" customHeight="1" x14ac:dyDescent="0.25">
      <c r="A655" s="109" t="s">
        <v>231</v>
      </c>
      <c r="B655" s="109" t="s">
        <v>231</v>
      </c>
      <c r="C655" s="25" t="s">
        <v>20</v>
      </c>
      <c r="D655" s="24">
        <v>340</v>
      </c>
      <c r="E655" s="245"/>
      <c r="F655" s="279">
        <v>8</v>
      </c>
      <c r="G655" s="2">
        <f>ROUND(H655/D655,0)</f>
        <v>0</v>
      </c>
      <c r="H655" s="39">
        <f>ROUND(E655*F655,0)</f>
        <v>0</v>
      </c>
    </row>
    <row r="656" spans="1:8" ht="18" hidden="1" customHeight="1" x14ac:dyDescent="0.25">
      <c r="A656" s="109" t="s">
        <v>231</v>
      </c>
      <c r="B656" s="109" t="s">
        <v>231</v>
      </c>
      <c r="C656" s="30" t="s">
        <v>9</v>
      </c>
      <c r="D656" s="227"/>
      <c r="E656" s="248">
        <f>E655</f>
        <v>0</v>
      </c>
      <c r="F656" s="36" t="e">
        <f>H656/E656</f>
        <v>#DIV/0!</v>
      </c>
      <c r="G656" s="232">
        <f>G655</f>
        <v>0</v>
      </c>
      <c r="H656" s="232">
        <f>H655</f>
        <v>0</v>
      </c>
    </row>
    <row r="657" spans="1:8" s="172" customFormat="1" ht="16.5" hidden="1" customHeight="1" thickBot="1" x14ac:dyDescent="0.3">
      <c r="A657" s="104"/>
      <c r="B657" s="109" t="s">
        <v>233</v>
      </c>
      <c r="C657" s="311" t="s">
        <v>86</v>
      </c>
      <c r="D657" s="300"/>
      <c r="E657" s="312">
        <f>E653+E656</f>
        <v>0</v>
      </c>
      <c r="F657" s="313" t="e">
        <f>H657/E657</f>
        <v>#DIV/0!</v>
      </c>
      <c r="G657" s="314">
        <f>G653+G656</f>
        <v>0</v>
      </c>
      <c r="H657" s="310">
        <f>H653+H656</f>
        <v>0</v>
      </c>
    </row>
    <row r="658" spans="1:8" s="172" customFormat="1" ht="15.75" hidden="1" thickBot="1" x14ac:dyDescent="0.3">
      <c r="A658" s="104">
        <v>1</v>
      </c>
      <c r="B658" s="109" t="s">
        <v>233</v>
      </c>
      <c r="C658" s="249" t="s">
        <v>220</v>
      </c>
      <c r="D658" s="155"/>
      <c r="E658" s="201"/>
      <c r="F658" s="157"/>
      <c r="G658" s="277"/>
      <c r="H658" s="157"/>
    </row>
    <row r="659" spans="1:8" s="318" customFormat="1" ht="34.5" hidden="1" customHeight="1" thickBot="1" x14ac:dyDescent="0.3">
      <c r="A659" s="104">
        <v>1</v>
      </c>
      <c r="B659" s="109" t="s">
        <v>234</v>
      </c>
      <c r="C659" s="676" t="s">
        <v>417</v>
      </c>
      <c r="D659" s="675"/>
      <c r="E659" s="315"/>
      <c r="F659" s="316"/>
      <c r="G659" s="316"/>
      <c r="H659" s="317"/>
    </row>
    <row r="660" spans="1:8" s="172" customFormat="1" hidden="1" x14ac:dyDescent="0.25">
      <c r="A660" s="104">
        <v>1</v>
      </c>
      <c r="B660" s="109" t="s">
        <v>234</v>
      </c>
      <c r="C660" s="319" t="s">
        <v>4</v>
      </c>
      <c r="D660" s="320"/>
      <c r="E660" s="288"/>
      <c r="F660" s="225"/>
      <c r="G660" s="225"/>
      <c r="H660" s="225"/>
    </row>
    <row r="661" spans="1:8" s="172" customFormat="1" ht="16.5" hidden="1" customHeight="1" x14ac:dyDescent="0.25">
      <c r="A661" s="104">
        <v>1</v>
      </c>
      <c r="B661" s="109" t="s">
        <v>234</v>
      </c>
      <c r="C661" s="117" t="s">
        <v>40</v>
      </c>
      <c r="D661" s="115">
        <v>320</v>
      </c>
      <c r="E661" s="45"/>
      <c r="F661" s="290">
        <v>9.6999999999999993</v>
      </c>
      <c r="G661" s="2">
        <f>ROUND(H661/D661,0)</f>
        <v>0</v>
      </c>
      <c r="H661" s="39">
        <f>ROUND(E661*F661,0)</f>
        <v>0</v>
      </c>
    </row>
    <row r="662" spans="1:8" s="172" customFormat="1" hidden="1" x14ac:dyDescent="0.25">
      <c r="A662" s="104">
        <v>1</v>
      </c>
      <c r="B662" s="109" t="s">
        <v>234</v>
      </c>
      <c r="C662" s="280" t="s">
        <v>5</v>
      </c>
      <c r="D662" s="121"/>
      <c r="E662" s="28">
        <f>SUM(E661)</f>
        <v>0</v>
      </c>
      <c r="F662" s="321" t="e">
        <f>H662/E662</f>
        <v>#DIV/0!</v>
      </c>
      <c r="G662" s="28">
        <f>G661</f>
        <v>0</v>
      </c>
      <c r="H662" s="28">
        <f>H661</f>
        <v>0</v>
      </c>
    </row>
    <row r="663" spans="1:8" s="172" customFormat="1" hidden="1" x14ac:dyDescent="0.25">
      <c r="A663" s="104">
        <v>1</v>
      </c>
      <c r="B663" s="109" t="s">
        <v>234</v>
      </c>
      <c r="C663" s="255" t="s">
        <v>108</v>
      </c>
      <c r="D663" s="41"/>
      <c r="E663" s="103"/>
      <c r="F663" s="220"/>
      <c r="G663" s="28"/>
      <c r="H663" s="225"/>
    </row>
    <row r="664" spans="1:8" s="172" customFormat="1" hidden="1" x14ac:dyDescent="0.25">
      <c r="A664" s="104"/>
      <c r="B664" s="109" t="s">
        <v>234</v>
      </c>
      <c r="C664" s="12" t="s">
        <v>96</v>
      </c>
      <c r="D664" s="41"/>
      <c r="E664" s="103"/>
      <c r="F664" s="220"/>
      <c r="G664" s="28"/>
      <c r="H664" s="225"/>
    </row>
    <row r="665" spans="1:8" s="172" customFormat="1" hidden="1" x14ac:dyDescent="0.25">
      <c r="A665" s="104"/>
      <c r="B665" s="109" t="s">
        <v>234</v>
      </c>
      <c r="C665" s="14" t="s">
        <v>296</v>
      </c>
      <c r="D665" s="41"/>
      <c r="E665" s="125">
        <f>E667+E670+E671</f>
        <v>2600</v>
      </c>
      <c r="F665" s="220"/>
      <c r="G665" s="28"/>
      <c r="H665" s="225"/>
    </row>
    <row r="666" spans="1:8" s="172" customFormat="1" hidden="1" x14ac:dyDescent="0.25">
      <c r="A666" s="104"/>
      <c r="B666" s="109" t="s">
        <v>234</v>
      </c>
      <c r="C666" s="15" t="s">
        <v>297</v>
      </c>
      <c r="D666" s="41"/>
      <c r="E666" s="103"/>
      <c r="F666" s="220"/>
      <c r="G666" s="28"/>
      <c r="H666" s="225"/>
    </row>
    <row r="667" spans="1:8" s="172" customFormat="1" ht="30" hidden="1" x14ac:dyDescent="0.25">
      <c r="A667" s="104"/>
      <c r="B667" s="109" t="s">
        <v>234</v>
      </c>
      <c r="C667" s="16" t="s">
        <v>298</v>
      </c>
      <c r="D667" s="41"/>
      <c r="E667" s="103">
        <f>E668</f>
        <v>2000</v>
      </c>
      <c r="F667" s="220"/>
      <c r="G667" s="28"/>
      <c r="H667" s="225"/>
    </row>
    <row r="668" spans="1:8" s="124" customFormat="1" hidden="1" x14ac:dyDescent="0.25">
      <c r="A668" s="104"/>
      <c r="B668" s="109" t="s">
        <v>234</v>
      </c>
      <c r="C668" s="15" t="s">
        <v>299</v>
      </c>
      <c r="D668" s="13"/>
      <c r="E668" s="103">
        <v>2000</v>
      </c>
      <c r="F668" s="10"/>
      <c r="G668" s="10"/>
      <c r="H668" s="10"/>
    </row>
    <row r="669" spans="1:8" s="172" customFormat="1" ht="45" hidden="1" x14ac:dyDescent="0.25">
      <c r="A669" s="104"/>
      <c r="B669" s="109" t="s">
        <v>234</v>
      </c>
      <c r="C669" s="15" t="s">
        <v>301</v>
      </c>
      <c r="D669" s="41"/>
      <c r="E669" s="103"/>
      <c r="F669" s="220"/>
      <c r="G669" s="28"/>
      <c r="H669" s="225"/>
    </row>
    <row r="670" spans="1:8" s="172" customFormat="1" ht="60" hidden="1" x14ac:dyDescent="0.25">
      <c r="A670" s="104"/>
      <c r="B670" s="109" t="s">
        <v>234</v>
      </c>
      <c r="C670" s="15" t="s">
        <v>309</v>
      </c>
      <c r="D670" s="41"/>
      <c r="E670" s="103"/>
      <c r="F670" s="220"/>
      <c r="G670" s="28"/>
      <c r="H670" s="225"/>
    </row>
    <row r="671" spans="1:8" s="172" customFormat="1" ht="45" hidden="1" x14ac:dyDescent="0.25">
      <c r="A671" s="104"/>
      <c r="B671" s="109" t="s">
        <v>234</v>
      </c>
      <c r="C671" s="18" t="s">
        <v>310</v>
      </c>
      <c r="D671" s="41"/>
      <c r="E671" s="103">
        <v>600</v>
      </c>
      <c r="F671" s="220"/>
      <c r="G671" s="28"/>
      <c r="H671" s="225"/>
    </row>
    <row r="672" spans="1:8" s="172" customFormat="1" hidden="1" x14ac:dyDescent="0.25">
      <c r="A672" s="104"/>
      <c r="B672" s="109" t="s">
        <v>234</v>
      </c>
      <c r="C672" s="14" t="s">
        <v>303</v>
      </c>
      <c r="D672" s="41"/>
      <c r="E672" s="103"/>
      <c r="F672" s="220"/>
      <c r="G672" s="28"/>
      <c r="H672" s="225"/>
    </row>
    <row r="673" spans="1:8" s="172" customFormat="1" ht="29.25" hidden="1" x14ac:dyDescent="0.25">
      <c r="A673" s="104">
        <v>1</v>
      </c>
      <c r="B673" s="109" t="s">
        <v>234</v>
      </c>
      <c r="C673" s="14" t="s">
        <v>306</v>
      </c>
      <c r="D673" s="13"/>
      <c r="E673" s="103">
        <f>E674</f>
        <v>0</v>
      </c>
      <c r="F673" s="220"/>
      <c r="G673" s="28"/>
      <c r="H673" s="225"/>
    </row>
    <row r="674" spans="1:8" s="172" customFormat="1" ht="30" hidden="1" x14ac:dyDescent="0.25">
      <c r="A674" s="104">
        <v>1</v>
      </c>
      <c r="B674" s="109" t="s">
        <v>234</v>
      </c>
      <c r="C674" s="19" t="s">
        <v>115</v>
      </c>
      <c r="D674" s="13"/>
      <c r="E674" s="241"/>
      <c r="F674" s="220"/>
      <c r="G674" s="28"/>
      <c r="H674" s="225"/>
    </row>
    <row r="675" spans="1:8" s="172" customFormat="1" ht="57.75" hidden="1" x14ac:dyDescent="0.25">
      <c r="A675" s="104">
        <v>1</v>
      </c>
      <c r="B675" s="109" t="s">
        <v>234</v>
      </c>
      <c r="C675" s="14" t="s">
        <v>307</v>
      </c>
      <c r="D675" s="13"/>
      <c r="E675" s="103"/>
      <c r="F675" s="220"/>
      <c r="G675" s="28"/>
      <c r="H675" s="225"/>
    </row>
    <row r="676" spans="1:8" s="172" customFormat="1" hidden="1" x14ac:dyDescent="0.25">
      <c r="A676" s="104"/>
      <c r="B676" s="109" t="s">
        <v>234</v>
      </c>
      <c r="C676" s="169" t="s">
        <v>89</v>
      </c>
      <c r="D676" s="13"/>
      <c r="E676" s="125">
        <f>SUM(E677:E685)</f>
        <v>2840</v>
      </c>
      <c r="F676" s="220"/>
      <c r="G676" s="28"/>
      <c r="H676" s="225"/>
    </row>
    <row r="677" spans="1:8" s="172" customFormat="1" ht="31.5" hidden="1" customHeight="1" x14ac:dyDescent="0.25">
      <c r="A677" s="104"/>
      <c r="B677" s="109" t="s">
        <v>234</v>
      </c>
      <c r="C677" s="15" t="s">
        <v>123</v>
      </c>
      <c r="D677" s="13"/>
      <c r="E677" s="103">
        <v>300</v>
      </c>
      <c r="F677" s="220"/>
      <c r="G677" s="28"/>
      <c r="H677" s="225"/>
    </row>
    <row r="678" spans="1:8" s="172" customFormat="1" hidden="1" x14ac:dyDescent="0.25">
      <c r="A678" s="104"/>
      <c r="B678" s="109" t="s">
        <v>234</v>
      </c>
      <c r="C678" s="15" t="s">
        <v>16</v>
      </c>
      <c r="D678" s="13"/>
      <c r="E678" s="103">
        <v>1000</v>
      </c>
      <c r="F678" s="220"/>
      <c r="G678" s="28"/>
      <c r="H678" s="225"/>
    </row>
    <row r="679" spans="1:8" s="172" customFormat="1" hidden="1" x14ac:dyDescent="0.25">
      <c r="A679" s="104"/>
      <c r="B679" s="109" t="s">
        <v>234</v>
      </c>
      <c r="C679" s="15" t="s">
        <v>53</v>
      </c>
      <c r="D679" s="13"/>
      <c r="E679" s="103">
        <v>800</v>
      </c>
      <c r="F679" s="220"/>
      <c r="G679" s="28"/>
      <c r="H679" s="225"/>
    </row>
    <row r="680" spans="1:8" s="172" customFormat="1" hidden="1" x14ac:dyDescent="0.25">
      <c r="A680" s="104"/>
      <c r="B680" s="109" t="s">
        <v>234</v>
      </c>
      <c r="C680" s="15" t="s">
        <v>147</v>
      </c>
      <c r="D680" s="13"/>
      <c r="E680" s="103">
        <v>250</v>
      </c>
      <c r="F680" s="220"/>
      <c r="G680" s="28"/>
      <c r="H680" s="225"/>
    </row>
    <row r="681" spans="1:8" s="172" customFormat="1" ht="15" hidden="1" customHeight="1" x14ac:dyDescent="0.25">
      <c r="A681" s="104"/>
      <c r="B681" s="109" t="s">
        <v>234</v>
      </c>
      <c r="C681" s="15" t="s">
        <v>149</v>
      </c>
      <c r="D681" s="13"/>
      <c r="E681" s="103">
        <v>300</v>
      </c>
      <c r="F681" s="220"/>
      <c r="G681" s="28"/>
      <c r="H681" s="225"/>
    </row>
    <row r="682" spans="1:8" s="172" customFormat="1" hidden="1" x14ac:dyDescent="0.25">
      <c r="A682" s="104"/>
      <c r="B682" s="109" t="s">
        <v>234</v>
      </c>
      <c r="C682" s="15" t="s">
        <v>52</v>
      </c>
      <c r="D682" s="13"/>
      <c r="E682" s="103">
        <v>80</v>
      </c>
      <c r="F682" s="220"/>
      <c r="G682" s="28"/>
      <c r="H682" s="225"/>
    </row>
    <row r="683" spans="1:8" s="172" customFormat="1" ht="28.5" hidden="1" customHeight="1" x14ac:dyDescent="0.25">
      <c r="A683" s="104"/>
      <c r="B683" s="109" t="s">
        <v>234</v>
      </c>
      <c r="C683" s="15" t="s">
        <v>148</v>
      </c>
      <c r="D683" s="13"/>
      <c r="E683" s="103">
        <v>60</v>
      </c>
      <c r="F683" s="220"/>
      <c r="G683" s="28"/>
      <c r="H683" s="225"/>
    </row>
    <row r="684" spans="1:8" s="172" customFormat="1" hidden="1" x14ac:dyDescent="0.25">
      <c r="A684" s="104"/>
      <c r="B684" s="109" t="s">
        <v>234</v>
      </c>
      <c r="C684" s="15" t="s">
        <v>15</v>
      </c>
      <c r="D684" s="13"/>
      <c r="E684" s="103">
        <v>30</v>
      </c>
      <c r="F684" s="220"/>
      <c r="G684" s="28"/>
      <c r="H684" s="225"/>
    </row>
    <row r="685" spans="1:8" s="172" customFormat="1" hidden="1" x14ac:dyDescent="0.25">
      <c r="A685" s="104"/>
      <c r="B685" s="109" t="s">
        <v>234</v>
      </c>
      <c r="C685" s="15" t="s">
        <v>51</v>
      </c>
      <c r="D685" s="13"/>
      <c r="E685" s="103">
        <v>20</v>
      </c>
      <c r="F685" s="220"/>
      <c r="G685" s="28"/>
      <c r="H685" s="225"/>
    </row>
    <row r="686" spans="1:8" s="172" customFormat="1" hidden="1" x14ac:dyDescent="0.25">
      <c r="A686" s="104"/>
      <c r="B686" s="109" t="s">
        <v>234</v>
      </c>
      <c r="C686" s="21" t="s">
        <v>198</v>
      </c>
      <c r="D686" s="13"/>
      <c r="E686" s="125">
        <f>E665</f>
        <v>2600</v>
      </c>
      <c r="F686" s="220"/>
      <c r="G686" s="28"/>
      <c r="H686" s="225"/>
    </row>
    <row r="687" spans="1:8" s="172" customFormat="1" hidden="1" x14ac:dyDescent="0.25">
      <c r="A687" s="104"/>
      <c r="B687" s="109" t="s">
        <v>234</v>
      </c>
      <c r="C687" s="21" t="s">
        <v>200</v>
      </c>
      <c r="D687" s="13"/>
      <c r="E687" s="103"/>
      <c r="F687" s="220"/>
      <c r="G687" s="28"/>
      <c r="H687" s="225"/>
    </row>
    <row r="688" spans="1:8" s="172" customFormat="1" ht="29.25" hidden="1" x14ac:dyDescent="0.25">
      <c r="A688" s="104"/>
      <c r="B688" s="109" t="s">
        <v>234</v>
      </c>
      <c r="C688" s="21" t="s">
        <v>201</v>
      </c>
      <c r="D688" s="13"/>
      <c r="E688" s="103"/>
      <c r="F688" s="220"/>
      <c r="G688" s="28"/>
      <c r="H688" s="225"/>
    </row>
    <row r="689" spans="1:8" s="172" customFormat="1" hidden="1" x14ac:dyDescent="0.25">
      <c r="A689" s="104"/>
      <c r="B689" s="109" t="s">
        <v>234</v>
      </c>
      <c r="C689" s="22" t="s">
        <v>109</v>
      </c>
      <c r="D689" s="13"/>
      <c r="E689" s="212">
        <f>E686</f>
        <v>2600</v>
      </c>
      <c r="F689" s="220"/>
      <c r="G689" s="28"/>
      <c r="H689" s="39"/>
    </row>
    <row r="690" spans="1:8" s="172" customFormat="1" ht="15.75" hidden="1" x14ac:dyDescent="0.25">
      <c r="A690" s="104">
        <v>1</v>
      </c>
      <c r="B690" s="109" t="s">
        <v>234</v>
      </c>
      <c r="C690" s="23" t="s">
        <v>7</v>
      </c>
      <c r="D690" s="18"/>
      <c r="E690" s="322"/>
      <c r="F690" s="18"/>
      <c r="G690" s="18"/>
      <c r="H690" s="18"/>
    </row>
    <row r="691" spans="1:8" s="172" customFormat="1" ht="18" hidden="1" customHeight="1" x14ac:dyDescent="0.25">
      <c r="A691" s="104">
        <v>1</v>
      </c>
      <c r="B691" s="109" t="s">
        <v>234</v>
      </c>
      <c r="C691" s="40" t="s">
        <v>91</v>
      </c>
      <c r="D691" s="18"/>
      <c r="E691" s="323"/>
      <c r="F691" s="18"/>
      <c r="G691" s="324"/>
      <c r="H691" s="324"/>
    </row>
    <row r="692" spans="1:8" s="172" customFormat="1" ht="18.75" hidden="1" customHeight="1" x14ac:dyDescent="0.25">
      <c r="A692" s="104">
        <v>1</v>
      </c>
      <c r="B692" s="109" t="s">
        <v>234</v>
      </c>
      <c r="C692" s="25" t="s">
        <v>24</v>
      </c>
      <c r="D692" s="24">
        <v>240</v>
      </c>
      <c r="E692" s="103"/>
      <c r="F692" s="325">
        <v>9.6999999999999993</v>
      </c>
      <c r="G692" s="2">
        <f>ROUND(H692/D692,0)</f>
        <v>0</v>
      </c>
      <c r="H692" s="39">
        <f>ROUND(E692*F692,0)</f>
        <v>0</v>
      </c>
    </row>
    <row r="693" spans="1:8" s="172" customFormat="1" ht="18" hidden="1" customHeight="1" x14ac:dyDescent="0.25">
      <c r="A693" s="104">
        <v>1</v>
      </c>
      <c r="B693" s="109" t="s">
        <v>234</v>
      </c>
      <c r="C693" s="139" t="s">
        <v>9</v>
      </c>
      <c r="D693" s="115"/>
      <c r="E693" s="140">
        <f>SUM(E692)</f>
        <v>0</v>
      </c>
      <c r="F693" s="326" t="e">
        <f>H693/E693</f>
        <v>#DIV/0!</v>
      </c>
      <c r="G693" s="31">
        <f t="shared" ref="F693:H694" si="17">G692</f>
        <v>0</v>
      </c>
      <c r="H693" s="31">
        <f t="shared" si="17"/>
        <v>0</v>
      </c>
    </row>
    <row r="694" spans="1:8" s="172" customFormat="1" ht="19.5" hidden="1" customHeight="1" thickBot="1" x14ac:dyDescent="0.3">
      <c r="A694" s="104">
        <v>1</v>
      </c>
      <c r="B694" s="109" t="s">
        <v>234</v>
      </c>
      <c r="C694" s="327" t="s">
        <v>86</v>
      </c>
      <c r="D694" s="115"/>
      <c r="E694" s="173">
        <f>E693</f>
        <v>0</v>
      </c>
      <c r="F694" s="328" t="e">
        <f t="shared" si="17"/>
        <v>#DIV/0!</v>
      </c>
      <c r="G694" s="29">
        <f t="shared" si="17"/>
        <v>0</v>
      </c>
      <c r="H694" s="329">
        <f t="shared" si="17"/>
        <v>0</v>
      </c>
    </row>
    <row r="695" spans="1:8" s="172" customFormat="1" ht="17.25" hidden="1" customHeight="1" thickBot="1" x14ac:dyDescent="0.3">
      <c r="A695" s="104">
        <v>1</v>
      </c>
      <c r="B695" s="109" t="s">
        <v>234</v>
      </c>
      <c r="C695" s="249" t="s">
        <v>220</v>
      </c>
      <c r="D695" s="330"/>
      <c r="E695" s="331"/>
      <c r="F695" s="332"/>
      <c r="G695" s="332"/>
      <c r="H695" s="332"/>
    </row>
    <row r="696" spans="1:8" s="172" customFormat="1" ht="31.5" hidden="1" customHeight="1" thickBot="1" x14ac:dyDescent="0.3">
      <c r="A696" s="104">
        <v>1</v>
      </c>
      <c r="B696" s="109" t="s">
        <v>235</v>
      </c>
      <c r="C696" s="688" t="s">
        <v>418</v>
      </c>
      <c r="D696" s="689"/>
      <c r="E696" s="333"/>
      <c r="F696" s="334"/>
      <c r="G696" s="334"/>
      <c r="H696" s="334"/>
    </row>
    <row r="697" spans="1:8" s="172" customFormat="1" ht="31.5" hidden="1" customHeight="1" x14ac:dyDescent="0.25">
      <c r="A697" s="104">
        <v>1</v>
      </c>
      <c r="B697" s="109" t="s">
        <v>235</v>
      </c>
      <c r="C697" s="677" t="s">
        <v>100</v>
      </c>
      <c r="D697" s="176"/>
      <c r="E697" s="335">
        <v>3000</v>
      </c>
      <c r="F697" s="121"/>
      <c r="G697" s="38"/>
      <c r="H697" s="38"/>
    </row>
    <row r="698" spans="1:8" s="172" customFormat="1" ht="31.5" hidden="1" customHeight="1" x14ac:dyDescent="0.25">
      <c r="A698" s="104">
        <v>1</v>
      </c>
      <c r="B698" s="109" t="s">
        <v>235</v>
      </c>
      <c r="C698" s="27" t="s">
        <v>101</v>
      </c>
      <c r="D698" s="121"/>
      <c r="E698" s="335">
        <v>15712</v>
      </c>
      <c r="F698" s="121"/>
      <c r="G698" s="38"/>
      <c r="H698" s="38"/>
    </row>
    <row r="699" spans="1:8" s="172" customFormat="1" ht="19.5" hidden="1" customHeight="1" x14ac:dyDescent="0.25">
      <c r="A699" s="104">
        <v>1</v>
      </c>
      <c r="B699" s="109" t="s">
        <v>235</v>
      </c>
      <c r="C699" s="27" t="s">
        <v>111</v>
      </c>
      <c r="D699" s="121"/>
      <c r="E699" s="335">
        <v>600</v>
      </c>
      <c r="F699" s="121"/>
      <c r="G699" s="38"/>
      <c r="H699" s="38"/>
    </row>
    <row r="700" spans="1:8" s="172" customFormat="1" ht="15.75" hidden="1" thickBot="1" x14ac:dyDescent="0.3">
      <c r="A700" s="104"/>
      <c r="B700" s="109" t="s">
        <v>235</v>
      </c>
      <c r="C700" s="148" t="s">
        <v>159</v>
      </c>
      <c r="D700" s="182"/>
      <c r="E700" s="336">
        <f>SUM(E697:E699)</f>
        <v>19312</v>
      </c>
      <c r="F700" s="182"/>
      <c r="G700" s="337"/>
      <c r="H700" s="337"/>
    </row>
    <row r="701" spans="1:8" s="172" customFormat="1" ht="17.25" hidden="1" customHeight="1" thickBot="1" x14ac:dyDescent="0.3">
      <c r="A701" s="104">
        <v>1</v>
      </c>
      <c r="B701" s="109" t="s">
        <v>235</v>
      </c>
      <c r="C701" s="249" t="s">
        <v>220</v>
      </c>
      <c r="D701" s="330"/>
      <c r="E701" s="331"/>
      <c r="F701" s="332"/>
      <c r="G701" s="332"/>
      <c r="H701" s="332"/>
    </row>
    <row r="702" spans="1:8" ht="43.5" hidden="1" x14ac:dyDescent="0.25">
      <c r="A702" s="104">
        <v>1</v>
      </c>
      <c r="B702" s="274" t="s">
        <v>236</v>
      </c>
      <c r="C702" s="674" t="s">
        <v>419</v>
      </c>
      <c r="D702" s="338"/>
      <c r="E702" s="339"/>
      <c r="F702" s="340"/>
      <c r="G702" s="340"/>
      <c r="H702" s="340"/>
    </row>
    <row r="703" spans="1:8" hidden="1" x14ac:dyDescent="0.25">
      <c r="A703" s="104">
        <v>1</v>
      </c>
      <c r="B703" s="274" t="s">
        <v>236</v>
      </c>
      <c r="C703" s="112" t="s">
        <v>4</v>
      </c>
      <c r="D703" s="115"/>
      <c r="E703" s="341"/>
      <c r="F703" s="289"/>
      <c r="G703" s="289"/>
      <c r="H703" s="289"/>
    </row>
    <row r="704" spans="1:8" hidden="1" x14ac:dyDescent="0.25">
      <c r="A704" s="104">
        <v>1</v>
      </c>
      <c r="B704" s="274" t="s">
        <v>236</v>
      </c>
      <c r="C704" s="342" t="s">
        <v>70</v>
      </c>
      <c r="D704" s="115">
        <v>340</v>
      </c>
      <c r="E704" s="341">
        <v>1203</v>
      </c>
      <c r="F704" s="116">
        <v>14.3</v>
      </c>
      <c r="G704" s="2">
        <f>ROUND(H704/D704,0)</f>
        <v>51</v>
      </c>
      <c r="H704" s="39">
        <f>ROUND(E704*F704,0)</f>
        <v>17203</v>
      </c>
    </row>
    <row r="705" spans="1:10" hidden="1" x14ac:dyDescent="0.25">
      <c r="A705" s="104">
        <v>1</v>
      </c>
      <c r="B705" s="274" t="s">
        <v>236</v>
      </c>
      <c r="C705" s="120" t="s">
        <v>5</v>
      </c>
      <c r="D705" s="115"/>
      <c r="E705" s="343">
        <f>SUM(E704)</f>
        <v>1203</v>
      </c>
      <c r="F705" s="343">
        <f>F704</f>
        <v>14.3</v>
      </c>
      <c r="G705" s="343">
        <f>G704</f>
        <v>51</v>
      </c>
      <c r="H705" s="343">
        <f>H704</f>
        <v>17203</v>
      </c>
      <c r="I705" s="118"/>
      <c r="J705" s="118"/>
    </row>
    <row r="706" spans="1:10" hidden="1" x14ac:dyDescent="0.25">
      <c r="B706" s="274" t="s">
        <v>236</v>
      </c>
      <c r="C706" s="344" t="s">
        <v>213</v>
      </c>
      <c r="D706" s="115"/>
      <c r="E706" s="343">
        <v>76</v>
      </c>
      <c r="F706" s="143"/>
      <c r="G706" s="227"/>
      <c r="H706" s="227"/>
      <c r="I706" s="118">
        <f>E704-E706</f>
        <v>1127</v>
      </c>
    </row>
    <row r="707" spans="1:10" ht="15.75" hidden="1" customHeight="1" x14ac:dyDescent="0.25">
      <c r="A707" s="104">
        <v>1</v>
      </c>
      <c r="B707" s="274" t="s">
        <v>236</v>
      </c>
      <c r="C707" s="255" t="s">
        <v>108</v>
      </c>
      <c r="D707" s="115"/>
      <c r="E707" s="343"/>
      <c r="F707" s="345"/>
      <c r="G707" s="227"/>
      <c r="H707" s="227"/>
    </row>
    <row r="708" spans="1:10" ht="15.75" hidden="1" customHeight="1" x14ac:dyDescent="0.25">
      <c r="B708" s="274" t="s">
        <v>236</v>
      </c>
      <c r="C708" s="12" t="s">
        <v>96</v>
      </c>
      <c r="D708" s="115"/>
      <c r="E708" s="343"/>
      <c r="F708" s="345"/>
      <c r="G708" s="227"/>
      <c r="H708" s="227"/>
    </row>
    <row r="709" spans="1:10" ht="15.75" hidden="1" customHeight="1" x14ac:dyDescent="0.25">
      <c r="B709" s="274" t="s">
        <v>236</v>
      </c>
      <c r="C709" s="14" t="s">
        <v>296</v>
      </c>
      <c r="D709" s="115"/>
      <c r="E709" s="343">
        <f>E711+E714+E715</f>
        <v>7500</v>
      </c>
      <c r="F709" s="345"/>
      <c r="G709" s="227"/>
      <c r="H709" s="227"/>
    </row>
    <row r="710" spans="1:10" ht="15.75" hidden="1" customHeight="1" x14ac:dyDescent="0.25">
      <c r="B710" s="274" t="s">
        <v>236</v>
      </c>
      <c r="C710" s="15" t="s">
        <v>297</v>
      </c>
      <c r="D710" s="115"/>
      <c r="E710" s="343"/>
      <c r="F710" s="345"/>
      <c r="G710" s="227"/>
      <c r="H710" s="227"/>
    </row>
    <row r="711" spans="1:10" ht="30" hidden="1" x14ac:dyDescent="0.25">
      <c r="B711" s="274" t="s">
        <v>236</v>
      </c>
      <c r="C711" s="16" t="s">
        <v>298</v>
      </c>
      <c r="D711" s="115"/>
      <c r="E711" s="241">
        <f>E712</f>
        <v>6000</v>
      </c>
      <c r="F711" s="345"/>
      <c r="G711" s="227"/>
      <c r="H711" s="227"/>
    </row>
    <row r="712" spans="1:10" s="124" customFormat="1" hidden="1" x14ac:dyDescent="0.25">
      <c r="A712" s="104"/>
      <c r="B712" s="274" t="s">
        <v>236</v>
      </c>
      <c r="C712" s="15" t="s">
        <v>299</v>
      </c>
      <c r="D712" s="13"/>
      <c r="E712" s="241">
        <v>6000</v>
      </c>
      <c r="F712" s="10"/>
      <c r="G712" s="10"/>
      <c r="H712" s="10"/>
    </row>
    <row r="713" spans="1:10" ht="45" hidden="1" customHeight="1" x14ac:dyDescent="0.25">
      <c r="B713" s="274" t="s">
        <v>236</v>
      </c>
      <c r="C713" s="15" t="s">
        <v>301</v>
      </c>
      <c r="D713" s="115"/>
      <c r="E713" s="241"/>
      <c r="F713" s="345"/>
      <c r="G713" s="227"/>
      <c r="H713" s="227"/>
    </row>
    <row r="714" spans="1:10" ht="41.25" hidden="1" customHeight="1" x14ac:dyDescent="0.25">
      <c r="B714" s="274" t="s">
        <v>236</v>
      </c>
      <c r="C714" s="15" t="s">
        <v>309</v>
      </c>
      <c r="D714" s="115"/>
      <c r="E714" s="241"/>
      <c r="F714" s="345"/>
      <c r="G714" s="227"/>
      <c r="H714" s="227"/>
    </row>
    <row r="715" spans="1:10" ht="49.5" hidden="1" customHeight="1" x14ac:dyDescent="0.25">
      <c r="B715" s="274" t="s">
        <v>236</v>
      </c>
      <c r="C715" s="18" t="s">
        <v>310</v>
      </c>
      <c r="D715" s="115"/>
      <c r="E715" s="241">
        <v>1500</v>
      </c>
      <c r="F715" s="345"/>
      <c r="G715" s="227"/>
      <c r="H715" s="227"/>
    </row>
    <row r="716" spans="1:10" ht="15.75" hidden="1" customHeight="1" x14ac:dyDescent="0.25">
      <c r="B716" s="274" t="s">
        <v>236</v>
      </c>
      <c r="C716" s="14" t="s">
        <v>303</v>
      </c>
      <c r="D716" s="115"/>
      <c r="E716" s="343">
        <f>E717</f>
        <v>20224</v>
      </c>
      <c r="F716" s="345"/>
      <c r="G716" s="227"/>
      <c r="H716" s="227"/>
    </row>
    <row r="717" spans="1:10" ht="15.75" hidden="1" customHeight="1" x14ac:dyDescent="0.25">
      <c r="B717" s="274"/>
      <c r="C717" s="14" t="s">
        <v>304</v>
      </c>
      <c r="D717" s="115"/>
      <c r="E717" s="343">
        <f>20000+224</f>
        <v>20224</v>
      </c>
      <c r="F717" s="345"/>
      <c r="G717" s="227"/>
      <c r="H717" s="227"/>
    </row>
    <row r="718" spans="1:10" ht="33" hidden="1" customHeight="1" x14ac:dyDescent="0.25">
      <c r="A718" s="104">
        <v>1</v>
      </c>
      <c r="B718" s="274" t="s">
        <v>236</v>
      </c>
      <c r="C718" s="14" t="s">
        <v>306</v>
      </c>
      <c r="D718" s="115"/>
      <c r="E718" s="241">
        <f>E719</f>
        <v>0</v>
      </c>
      <c r="F718" s="345"/>
      <c r="G718" s="227"/>
      <c r="H718" s="227"/>
    </row>
    <row r="719" spans="1:10" ht="30" hidden="1" customHeight="1" x14ac:dyDescent="0.25">
      <c r="A719" s="104">
        <v>1</v>
      </c>
      <c r="B719" s="274" t="s">
        <v>236</v>
      </c>
      <c r="C719" s="19" t="s">
        <v>115</v>
      </c>
      <c r="D719" s="115"/>
      <c r="E719" s="241"/>
      <c r="F719" s="345"/>
      <c r="G719" s="227"/>
      <c r="H719" s="227"/>
    </row>
    <row r="720" spans="1:10" ht="60" hidden="1" customHeight="1" x14ac:dyDescent="0.25">
      <c r="A720" s="104">
        <v>1</v>
      </c>
      <c r="B720" s="274" t="s">
        <v>236</v>
      </c>
      <c r="C720" s="14" t="s">
        <v>307</v>
      </c>
      <c r="D720" s="115"/>
      <c r="E720" s="241"/>
      <c r="F720" s="345"/>
      <c r="G720" s="227"/>
      <c r="H720" s="227"/>
    </row>
    <row r="721" spans="1:8" hidden="1" x14ac:dyDescent="0.25">
      <c r="B721" s="274"/>
      <c r="C721" s="14" t="s">
        <v>89</v>
      </c>
      <c r="D721" s="115"/>
      <c r="E721" s="343">
        <f>SUM(E722)</f>
        <v>31912</v>
      </c>
      <c r="F721" s="345"/>
      <c r="G721" s="227"/>
      <c r="H721" s="227"/>
    </row>
    <row r="722" spans="1:8" ht="45" hidden="1" x14ac:dyDescent="0.25">
      <c r="B722" s="274"/>
      <c r="C722" s="15" t="s">
        <v>282</v>
      </c>
      <c r="D722" s="115"/>
      <c r="E722" s="241">
        <v>31912</v>
      </c>
      <c r="F722" s="345"/>
      <c r="G722" s="227"/>
      <c r="H722" s="227"/>
    </row>
    <row r="723" spans="1:8" hidden="1" x14ac:dyDescent="0.25">
      <c r="B723" s="274" t="s">
        <v>236</v>
      </c>
      <c r="C723" s="21" t="s">
        <v>198</v>
      </c>
      <c r="D723" s="115"/>
      <c r="E723" s="241">
        <f>E709</f>
        <v>7500</v>
      </c>
      <c r="F723" s="345"/>
      <c r="G723" s="227"/>
      <c r="H723" s="227"/>
    </row>
    <row r="724" spans="1:8" hidden="1" x14ac:dyDescent="0.25">
      <c r="B724" s="274" t="s">
        <v>236</v>
      </c>
      <c r="C724" s="21" t="s">
        <v>200</v>
      </c>
      <c r="D724" s="115"/>
      <c r="E724" s="343">
        <f>E716</f>
        <v>20224</v>
      </c>
      <c r="F724" s="345"/>
      <c r="G724" s="227"/>
      <c r="H724" s="227"/>
    </row>
    <row r="725" spans="1:8" ht="29.25" hidden="1" x14ac:dyDescent="0.25">
      <c r="B725" s="274" t="s">
        <v>236</v>
      </c>
      <c r="C725" s="48" t="s">
        <v>201</v>
      </c>
      <c r="D725" s="194"/>
      <c r="E725" s="346"/>
      <c r="F725" s="347"/>
      <c r="G725" s="348"/>
      <c r="H725" s="348"/>
    </row>
    <row r="726" spans="1:8" hidden="1" x14ac:dyDescent="0.25">
      <c r="B726" s="274" t="s">
        <v>236</v>
      </c>
      <c r="C726" s="349" t="s">
        <v>109</v>
      </c>
      <c r="D726" s="115"/>
      <c r="E726" s="343">
        <f>E724*4.2+E723</f>
        <v>92440.8</v>
      </c>
      <c r="F726" s="345"/>
      <c r="G726" s="227"/>
      <c r="H726" s="350"/>
    </row>
    <row r="727" spans="1:8" hidden="1" x14ac:dyDescent="0.25">
      <c r="A727" s="104">
        <v>1</v>
      </c>
      <c r="B727" s="274" t="s">
        <v>236</v>
      </c>
      <c r="C727" s="351" t="s">
        <v>7</v>
      </c>
      <c r="D727" s="338"/>
      <c r="E727" s="339"/>
      <c r="F727" s="338"/>
      <c r="G727" s="338"/>
      <c r="H727" s="340"/>
    </row>
    <row r="728" spans="1:8" hidden="1" x14ac:dyDescent="0.25">
      <c r="A728" s="104">
        <v>1</v>
      </c>
      <c r="B728" s="274" t="s">
        <v>236</v>
      </c>
      <c r="C728" s="40" t="s">
        <v>91</v>
      </c>
      <c r="D728" s="115"/>
      <c r="E728" s="341"/>
      <c r="F728" s="115"/>
      <c r="G728" s="115"/>
      <c r="H728" s="289"/>
    </row>
    <row r="729" spans="1:8" hidden="1" x14ac:dyDescent="0.25">
      <c r="A729" s="104">
        <v>1</v>
      </c>
      <c r="B729" s="274" t="s">
        <v>236</v>
      </c>
      <c r="C729" s="342" t="s">
        <v>70</v>
      </c>
      <c r="D729" s="115">
        <v>300</v>
      </c>
      <c r="E729" s="341">
        <v>280</v>
      </c>
      <c r="F729" s="116">
        <v>14</v>
      </c>
      <c r="G729" s="2">
        <f>ROUND(H729/D729,0)</f>
        <v>13</v>
      </c>
      <c r="H729" s="39">
        <f>ROUND(E729*F729,0)</f>
        <v>3920</v>
      </c>
    </row>
    <row r="730" spans="1:8" ht="16.5" hidden="1" customHeight="1" x14ac:dyDescent="0.25">
      <c r="A730" s="104">
        <v>1</v>
      </c>
      <c r="B730" s="274" t="s">
        <v>236</v>
      </c>
      <c r="C730" s="352" t="s">
        <v>9</v>
      </c>
      <c r="D730" s="115"/>
      <c r="E730" s="291">
        <f>SUM(E729)</f>
        <v>280</v>
      </c>
      <c r="F730" s="353">
        <f>H730/E730</f>
        <v>14</v>
      </c>
      <c r="G730" s="292">
        <f>G729</f>
        <v>13</v>
      </c>
      <c r="H730" s="292">
        <f>H729</f>
        <v>3920</v>
      </c>
    </row>
    <row r="731" spans="1:8" hidden="1" x14ac:dyDescent="0.25">
      <c r="A731" s="104">
        <v>1</v>
      </c>
      <c r="B731" s="274" t="s">
        <v>236</v>
      </c>
      <c r="C731" s="40" t="s">
        <v>18</v>
      </c>
      <c r="D731" s="115"/>
      <c r="E731" s="291"/>
      <c r="F731" s="353"/>
      <c r="G731" s="292"/>
      <c r="H731" s="292"/>
    </row>
    <row r="732" spans="1:8" hidden="1" x14ac:dyDescent="0.25">
      <c r="A732" s="104">
        <v>1</v>
      </c>
      <c r="B732" s="274" t="s">
        <v>236</v>
      </c>
      <c r="C732" s="25" t="s">
        <v>70</v>
      </c>
      <c r="D732" s="354">
        <v>240</v>
      </c>
      <c r="E732" s="103">
        <v>870</v>
      </c>
      <c r="F732" s="355">
        <v>8</v>
      </c>
      <c r="G732" s="2">
        <f>ROUND(H732/D732,0)</f>
        <v>29</v>
      </c>
      <c r="H732" s="39">
        <f>ROUND(E732*F732,0)</f>
        <v>6960</v>
      </c>
    </row>
    <row r="733" spans="1:8" ht="17.25" hidden="1" customHeight="1" x14ac:dyDescent="0.25">
      <c r="A733" s="104">
        <v>1</v>
      </c>
      <c r="B733" s="274" t="s">
        <v>236</v>
      </c>
      <c r="C733" s="139" t="s">
        <v>92</v>
      </c>
      <c r="D733" s="115"/>
      <c r="E733" s="291">
        <f>SUM(E732)</f>
        <v>870</v>
      </c>
      <c r="F733" s="345">
        <f t="shared" ref="F733:H733" si="18">F732</f>
        <v>8</v>
      </c>
      <c r="G733" s="292">
        <f t="shared" si="18"/>
        <v>29</v>
      </c>
      <c r="H733" s="292">
        <f t="shared" si="18"/>
        <v>6960</v>
      </c>
    </row>
    <row r="734" spans="1:8" ht="19.5" hidden="1" customHeight="1" thickBot="1" x14ac:dyDescent="0.3">
      <c r="A734" s="104">
        <v>1</v>
      </c>
      <c r="B734" s="274" t="s">
        <v>236</v>
      </c>
      <c r="C734" s="26" t="s">
        <v>86</v>
      </c>
      <c r="D734" s="115"/>
      <c r="E734" s="291">
        <f>E730+E733</f>
        <v>1150</v>
      </c>
      <c r="F734" s="345">
        <f>H734/E734</f>
        <v>9.4608695652173918</v>
      </c>
      <c r="G734" s="292">
        <f>G730+G733</f>
        <v>42</v>
      </c>
      <c r="H734" s="292">
        <f>H730+H733</f>
        <v>10880</v>
      </c>
    </row>
    <row r="735" spans="1:8" ht="15" hidden="1" customHeight="1" thickBot="1" x14ac:dyDescent="0.3">
      <c r="A735" s="104">
        <v>1</v>
      </c>
      <c r="B735" s="274" t="s">
        <v>236</v>
      </c>
      <c r="C735" s="249" t="s">
        <v>220</v>
      </c>
      <c r="D735" s="155"/>
      <c r="E735" s="201"/>
      <c r="F735" s="157"/>
      <c r="G735" s="157"/>
      <c r="H735" s="157"/>
    </row>
    <row r="736" spans="1:8" ht="33.75" hidden="1" customHeight="1" x14ac:dyDescent="0.25">
      <c r="A736" s="104">
        <v>1</v>
      </c>
      <c r="B736" s="109" t="s">
        <v>237</v>
      </c>
      <c r="C736" s="685" t="s">
        <v>420</v>
      </c>
      <c r="D736" s="686"/>
      <c r="E736" s="686"/>
      <c r="F736" s="686"/>
      <c r="G736" s="687"/>
      <c r="H736" s="289"/>
    </row>
    <row r="737" spans="1:8" hidden="1" x14ac:dyDescent="0.25">
      <c r="A737" s="104">
        <v>1</v>
      </c>
      <c r="B737" s="109" t="s">
        <v>237</v>
      </c>
      <c r="C737" s="255" t="s">
        <v>6</v>
      </c>
      <c r="D737" s="115"/>
      <c r="E737" s="341"/>
      <c r="F737" s="289"/>
      <c r="G737" s="289"/>
      <c r="H737" s="289"/>
    </row>
    <row r="738" spans="1:8" ht="15" hidden="1" customHeight="1" x14ac:dyDescent="0.25">
      <c r="A738" s="104">
        <v>1</v>
      </c>
      <c r="B738" s="109" t="s">
        <v>237</v>
      </c>
      <c r="C738" s="356" t="s">
        <v>89</v>
      </c>
      <c r="D738" s="115"/>
      <c r="E738" s="357">
        <f>SUM(E739:E743)</f>
        <v>64100</v>
      </c>
      <c r="F738" s="289"/>
      <c r="G738" s="289"/>
      <c r="H738" s="289"/>
    </row>
    <row r="739" spans="1:8" s="361" customFormat="1" hidden="1" x14ac:dyDescent="0.25">
      <c r="A739" s="104">
        <v>1</v>
      </c>
      <c r="B739" s="109" t="s">
        <v>237</v>
      </c>
      <c r="C739" s="25" t="s">
        <v>53</v>
      </c>
      <c r="D739" s="358"/>
      <c r="E739" s="359">
        <v>19000</v>
      </c>
      <c r="F739" s="360"/>
      <c r="G739" s="360"/>
      <c r="H739" s="360"/>
    </row>
    <row r="740" spans="1:8" s="361" customFormat="1" ht="30" hidden="1" customHeight="1" x14ac:dyDescent="0.25">
      <c r="A740" s="104">
        <v>1</v>
      </c>
      <c r="B740" s="109" t="s">
        <v>237</v>
      </c>
      <c r="C740" s="362" t="s">
        <v>125</v>
      </c>
      <c r="D740" s="358"/>
      <c r="E740" s="359">
        <v>12600</v>
      </c>
      <c r="F740" s="360"/>
      <c r="G740" s="360"/>
      <c r="H740" s="360"/>
    </row>
    <row r="741" spans="1:8" s="361" customFormat="1" ht="27.75" hidden="1" customHeight="1" x14ac:dyDescent="0.25">
      <c r="A741" s="104"/>
      <c r="B741" s="109" t="s">
        <v>237</v>
      </c>
      <c r="C741" s="362" t="s">
        <v>282</v>
      </c>
      <c r="D741" s="358"/>
      <c r="E741" s="359">
        <v>30600</v>
      </c>
      <c r="F741" s="360"/>
      <c r="G741" s="360"/>
      <c r="H741" s="360"/>
    </row>
    <row r="742" spans="1:8" s="361" customFormat="1" hidden="1" x14ac:dyDescent="0.25">
      <c r="A742" s="104">
        <v>1</v>
      </c>
      <c r="B742" s="109" t="s">
        <v>237</v>
      </c>
      <c r="C742" s="25" t="s">
        <v>149</v>
      </c>
      <c r="D742" s="358"/>
      <c r="E742" s="359">
        <v>1600</v>
      </c>
      <c r="F742" s="360"/>
      <c r="G742" s="360"/>
      <c r="H742" s="360"/>
    </row>
    <row r="743" spans="1:8" s="361" customFormat="1" ht="18.75" hidden="1" customHeight="1" x14ac:dyDescent="0.25">
      <c r="A743" s="104"/>
      <c r="B743" s="109"/>
      <c r="C743" s="362" t="s">
        <v>138</v>
      </c>
      <c r="D743" s="358"/>
      <c r="E743" s="359">
        <v>300</v>
      </c>
      <c r="F743" s="360"/>
      <c r="G743" s="360"/>
      <c r="H743" s="360"/>
    </row>
    <row r="744" spans="1:8" s="361" customFormat="1" ht="16.5" hidden="1" customHeight="1" x14ac:dyDescent="0.25">
      <c r="A744" s="104"/>
      <c r="B744" s="109" t="s">
        <v>237</v>
      </c>
      <c r="C744" s="363" t="s">
        <v>109</v>
      </c>
      <c r="D744" s="364"/>
      <c r="E744" s="365"/>
      <c r="F744" s="360"/>
      <c r="G744" s="360"/>
      <c r="H744" s="360"/>
    </row>
    <row r="745" spans="1:8" s="361" customFormat="1" hidden="1" x14ac:dyDescent="0.25">
      <c r="A745" s="104"/>
      <c r="B745" s="109" t="s">
        <v>237</v>
      </c>
      <c r="C745" s="30" t="s">
        <v>7</v>
      </c>
      <c r="D745" s="358"/>
      <c r="E745" s="359"/>
      <c r="F745" s="366"/>
      <c r="G745" s="366"/>
      <c r="H745" s="360"/>
    </row>
    <row r="746" spans="1:8" s="361" customFormat="1" hidden="1" x14ac:dyDescent="0.25">
      <c r="A746" s="104"/>
      <c r="B746" s="109" t="s">
        <v>237</v>
      </c>
      <c r="C746" s="40" t="s">
        <v>18</v>
      </c>
      <c r="D746" s="358"/>
      <c r="E746" s="359"/>
      <c r="F746" s="367"/>
      <c r="G746" s="360"/>
      <c r="H746" s="366"/>
    </row>
    <row r="747" spans="1:8" s="361" customFormat="1" hidden="1" x14ac:dyDescent="0.25">
      <c r="A747" s="104"/>
      <c r="B747" s="109" t="s">
        <v>237</v>
      </c>
      <c r="C747" s="368" t="s">
        <v>177</v>
      </c>
      <c r="D747" s="354">
        <v>240</v>
      </c>
      <c r="E747" s="103">
        <v>90</v>
      </c>
      <c r="F747" s="355">
        <v>28</v>
      </c>
      <c r="G747" s="2">
        <f>ROUND(H747/D747,0)</f>
        <v>11</v>
      </c>
      <c r="H747" s="39">
        <f>ROUND(E747*F747,0)</f>
        <v>2520</v>
      </c>
    </row>
    <row r="748" spans="1:8" s="361" customFormat="1" hidden="1" x14ac:dyDescent="0.25">
      <c r="A748" s="104"/>
      <c r="B748" s="109" t="s">
        <v>237</v>
      </c>
      <c r="C748" s="139" t="s">
        <v>92</v>
      </c>
      <c r="D748" s="115"/>
      <c r="E748" s="291">
        <f>SUM(E747)</f>
        <v>90</v>
      </c>
      <c r="F748" s="345">
        <f>H748/E748</f>
        <v>28</v>
      </c>
      <c r="G748" s="292">
        <f>G747</f>
        <v>11</v>
      </c>
      <c r="H748" s="292">
        <f>H747</f>
        <v>2520</v>
      </c>
    </row>
    <row r="749" spans="1:8" s="361" customFormat="1" ht="30" hidden="1" thickBot="1" x14ac:dyDescent="0.3">
      <c r="A749" s="104"/>
      <c r="B749" s="109" t="s">
        <v>237</v>
      </c>
      <c r="C749" s="369" t="s">
        <v>86</v>
      </c>
      <c r="D749" s="370"/>
      <c r="E749" s="371">
        <f>E748</f>
        <v>90</v>
      </c>
      <c r="F749" s="372">
        <f t="shared" ref="F749:H749" si="19">F748</f>
        <v>28</v>
      </c>
      <c r="G749" s="372">
        <f t="shared" si="19"/>
        <v>11</v>
      </c>
      <c r="H749" s="373">
        <f t="shared" si="19"/>
        <v>2520</v>
      </c>
    </row>
    <row r="750" spans="1:8" ht="16.5" hidden="1" customHeight="1" x14ac:dyDescent="0.25">
      <c r="A750" s="104">
        <v>1</v>
      </c>
      <c r="C750" s="265"/>
      <c r="D750" s="374"/>
      <c r="E750" s="375"/>
      <c r="F750" s="376"/>
      <c r="G750" s="377"/>
      <c r="H750" s="378"/>
    </row>
    <row r="1364" spans="5:5" x14ac:dyDescent="0.25">
      <c r="E1364" s="118">
        <f>SUM(E872,E545,E742)</f>
        <v>4865</v>
      </c>
    </row>
  </sheetData>
  <sheetProtection selectLockedCells="1" selectUnlockedCells="1"/>
  <autoFilter ref="C8:I750"/>
  <sortState ref="C424:H463">
    <sortCondition ref="C424:C463"/>
  </sortState>
  <mergeCells count="10">
    <mergeCell ref="C736:G736"/>
    <mergeCell ref="C696:D696"/>
    <mergeCell ref="G1:H1"/>
    <mergeCell ref="F2:H2"/>
    <mergeCell ref="C3:H4"/>
    <mergeCell ref="E5:E7"/>
    <mergeCell ref="G5:G7"/>
    <mergeCell ref="H5:H7"/>
    <mergeCell ref="D5:D7"/>
    <mergeCell ref="F5:F7"/>
  </mergeCells>
  <pageMargins left="0.39370078740157483" right="0" top="0.31496062992125984" bottom="0.19685039370078741" header="0" footer="0"/>
  <pageSetup paperSize="9" scale="80" orientation="portrait" r:id="rId1"/>
  <headerFooter differentFirst="1" scaleWithDoc="0">
    <oddHeader>&amp;C&amp;P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M1473"/>
  <sheetViews>
    <sheetView topLeftCell="D1" zoomScale="85" zoomScaleNormal="85" zoomScaleSheetLayoutView="85" workbookViewId="0">
      <pane ySplit="8" topLeftCell="A1270" activePane="bottomLeft" state="frozen"/>
      <selection activeCell="J575" sqref="J575"/>
      <selection pane="bottomLeft" activeCell="D1" sqref="A1:XFD1048576"/>
    </sheetView>
  </sheetViews>
  <sheetFormatPr defaultColWidth="9.140625" defaultRowHeight="15" x14ac:dyDescent="0.25"/>
  <cols>
    <col min="1" max="1" width="4.42578125" style="51" hidden="1" customWidth="1"/>
    <col min="2" max="3" width="9.85546875" style="51" hidden="1" customWidth="1"/>
    <col min="4" max="4" width="48.140625" style="89" customWidth="1"/>
    <col min="5" max="5" width="11.140625" style="89" customWidth="1"/>
    <col min="6" max="6" width="14.28515625" style="89" customWidth="1"/>
    <col min="7" max="7" width="13.5703125" style="51" customWidth="1"/>
    <col min="8" max="8" width="13" style="51" bestFit="1" customWidth="1"/>
    <col min="9" max="9" width="12.140625" style="51" customWidth="1"/>
    <col min="10" max="10" width="11.140625" style="52" customWidth="1"/>
    <col min="11" max="11" width="9.7109375" style="51" bestFit="1" customWidth="1"/>
    <col min="12" max="12" width="9.140625" style="51"/>
    <col min="13" max="13" width="21.5703125" style="51" customWidth="1"/>
    <col min="14" max="16384" width="9.140625" style="51"/>
  </cols>
  <sheetData>
    <row r="1" spans="1:10" s="380" customFormat="1" ht="15.75" customHeight="1" x14ac:dyDescent="0.25">
      <c r="D1" s="50"/>
      <c r="E1" s="381"/>
      <c r="F1" s="381"/>
      <c r="G1" s="105"/>
      <c r="H1" s="690" t="s">
        <v>181</v>
      </c>
      <c r="I1" s="690"/>
      <c r="J1" s="382"/>
    </row>
    <row r="2" spans="1:10" s="380" customFormat="1" ht="30.75" customHeight="1" x14ac:dyDescent="0.25">
      <c r="D2" s="50"/>
      <c r="E2" s="381"/>
      <c r="F2" s="381"/>
      <c r="G2" s="691" t="s">
        <v>434</v>
      </c>
      <c r="H2" s="691"/>
      <c r="I2" s="691"/>
      <c r="J2" s="382"/>
    </row>
    <row r="3" spans="1:10" s="380" customFormat="1" ht="15.75" x14ac:dyDescent="0.25">
      <c r="D3" s="692" t="s">
        <v>352</v>
      </c>
      <c r="E3" s="693"/>
      <c r="F3" s="693"/>
      <c r="G3" s="693"/>
      <c r="H3" s="693"/>
      <c r="I3" s="693"/>
      <c r="J3" s="382"/>
    </row>
    <row r="4" spans="1:10" ht="15.75" thickBot="1" x14ac:dyDescent="0.3">
      <c r="D4" s="693"/>
      <c r="E4" s="693"/>
      <c r="F4" s="693"/>
      <c r="G4" s="693"/>
      <c r="H4" s="693"/>
      <c r="I4" s="693"/>
    </row>
    <row r="5" spans="1:10" ht="18.75" x14ac:dyDescent="0.3">
      <c r="D5" s="383" t="s">
        <v>106</v>
      </c>
      <c r="E5" s="697" t="s">
        <v>1</v>
      </c>
      <c r="F5" s="708" t="s">
        <v>144</v>
      </c>
      <c r="G5" s="703" t="s">
        <v>0</v>
      </c>
      <c r="H5" s="697" t="s">
        <v>2</v>
      </c>
      <c r="I5" s="700" t="s">
        <v>112</v>
      </c>
    </row>
    <row r="6" spans="1:10" ht="29.25" customHeight="1" x14ac:dyDescent="0.3">
      <c r="D6" s="384"/>
      <c r="E6" s="698"/>
      <c r="F6" s="709"/>
      <c r="G6" s="704"/>
      <c r="H6" s="698"/>
      <c r="I6" s="701"/>
    </row>
    <row r="7" spans="1:10" ht="26.25" customHeight="1" thickBot="1" x14ac:dyDescent="0.3">
      <c r="D7" s="385" t="s">
        <v>3</v>
      </c>
      <c r="E7" s="699"/>
      <c r="F7" s="710"/>
      <c r="G7" s="705"/>
      <c r="H7" s="699"/>
      <c r="I7" s="702"/>
      <c r="J7" s="386"/>
    </row>
    <row r="8" spans="1:10" s="104" customFormat="1" ht="15.75" thickBot="1" x14ac:dyDescent="0.3">
      <c r="D8" s="387">
        <v>1</v>
      </c>
      <c r="E8" s="8">
        <v>2</v>
      </c>
      <c r="F8" s="388"/>
      <c r="G8" s="108">
        <v>4</v>
      </c>
      <c r="H8" s="108">
        <v>5</v>
      </c>
      <c r="I8" s="108">
        <v>6</v>
      </c>
      <c r="J8" s="389"/>
    </row>
    <row r="9" spans="1:10" s="53" customFormat="1" hidden="1" x14ac:dyDescent="0.25">
      <c r="A9" s="53">
        <v>1</v>
      </c>
      <c r="C9" s="53">
        <v>1</v>
      </c>
      <c r="D9" s="390"/>
      <c r="E9" s="391"/>
      <c r="F9" s="392"/>
      <c r="G9" s="393"/>
      <c r="H9" s="393"/>
      <c r="I9" s="393"/>
      <c r="J9" s="152"/>
    </row>
    <row r="10" spans="1:10" s="53" customFormat="1" ht="29.25" hidden="1" x14ac:dyDescent="0.25">
      <c r="A10" s="53">
        <v>1</v>
      </c>
      <c r="B10" s="109" t="s">
        <v>238</v>
      </c>
      <c r="C10" s="53">
        <v>1</v>
      </c>
      <c r="D10" s="674" t="s">
        <v>380</v>
      </c>
      <c r="E10" s="54"/>
      <c r="F10" s="394"/>
      <c r="G10" s="2"/>
      <c r="H10" s="2"/>
      <c r="I10" s="2"/>
      <c r="J10" s="152"/>
    </row>
    <row r="11" spans="1:10" s="53" customFormat="1" hidden="1" x14ac:dyDescent="0.25">
      <c r="A11" s="53">
        <v>1</v>
      </c>
      <c r="B11" s="109" t="s">
        <v>238</v>
      </c>
      <c r="C11" s="53">
        <v>1</v>
      </c>
      <c r="D11" s="395" t="s">
        <v>4</v>
      </c>
      <c r="E11" s="54"/>
      <c r="F11" s="394"/>
      <c r="G11" s="2"/>
      <c r="H11" s="2"/>
      <c r="I11" s="2"/>
      <c r="J11" s="152"/>
    </row>
    <row r="12" spans="1:10" s="53" customFormat="1" hidden="1" x14ac:dyDescent="0.25">
      <c r="B12" s="109"/>
      <c r="C12" s="53">
        <v>1</v>
      </c>
      <c r="D12" s="307" t="s">
        <v>25</v>
      </c>
      <c r="E12" s="54">
        <v>270</v>
      </c>
      <c r="F12" s="55">
        <f>900+2</f>
        <v>902</v>
      </c>
      <c r="G12" s="47">
        <v>10</v>
      </c>
      <c r="H12" s="2">
        <f>ROUND(I12/E12,0)</f>
        <v>33</v>
      </c>
      <c r="I12" s="2">
        <f>ROUND(F12*G12,0)</f>
        <v>9020</v>
      </c>
      <c r="J12" s="152">
        <v>900</v>
      </c>
    </row>
    <row r="13" spans="1:10" s="53" customFormat="1" hidden="1" x14ac:dyDescent="0.25">
      <c r="A13" s="53">
        <v>1</v>
      </c>
      <c r="B13" s="109" t="s">
        <v>238</v>
      </c>
      <c r="C13" s="53">
        <v>1</v>
      </c>
      <c r="D13" s="396" t="s">
        <v>8</v>
      </c>
      <c r="E13" s="54">
        <v>340</v>
      </c>
      <c r="F13" s="55">
        <v>1780</v>
      </c>
      <c r="G13" s="47">
        <v>6.8</v>
      </c>
      <c r="H13" s="2">
        <f>ROUND(I13/E13,0)</f>
        <v>36</v>
      </c>
      <c r="I13" s="2">
        <f>ROUND(F13*G13,0)</f>
        <v>12104</v>
      </c>
      <c r="J13" s="152">
        <v>1780</v>
      </c>
    </row>
    <row r="14" spans="1:10" s="53" customFormat="1" hidden="1" x14ac:dyDescent="0.25">
      <c r="A14" s="53">
        <v>1</v>
      </c>
      <c r="B14" s="109" t="s">
        <v>238</v>
      </c>
      <c r="C14" s="53">
        <v>1</v>
      </c>
      <c r="D14" s="307" t="s">
        <v>75</v>
      </c>
      <c r="E14" s="54">
        <v>340</v>
      </c>
      <c r="F14" s="55">
        <v>816</v>
      </c>
      <c r="G14" s="56">
        <v>6.8</v>
      </c>
      <c r="H14" s="2">
        <f>ROUND(I14/E14,0)</f>
        <v>16</v>
      </c>
      <c r="I14" s="2">
        <f>ROUND(F14*G14,0)</f>
        <v>5549</v>
      </c>
      <c r="J14" s="152">
        <v>816</v>
      </c>
    </row>
    <row r="15" spans="1:10" hidden="1" x14ac:dyDescent="0.25">
      <c r="A15" s="53">
        <v>1</v>
      </c>
      <c r="B15" s="109" t="s">
        <v>238</v>
      </c>
      <c r="C15" s="53">
        <v>1</v>
      </c>
      <c r="D15" s="397" t="s">
        <v>5</v>
      </c>
      <c r="E15" s="13"/>
      <c r="F15" s="398">
        <f>SUM(F12:F14)</f>
        <v>3498</v>
      </c>
      <c r="G15" s="143">
        <f>I15/F15</f>
        <v>7.6252144082332762</v>
      </c>
      <c r="H15" s="29">
        <f>SUM(H12:H14)</f>
        <v>85</v>
      </c>
      <c r="I15" s="29">
        <f>SUM(I12:I14)</f>
        <v>26673</v>
      </c>
      <c r="J15" s="52">
        <f>F15-F16</f>
        <v>3481</v>
      </c>
    </row>
    <row r="16" spans="1:10" hidden="1" x14ac:dyDescent="0.25">
      <c r="A16" s="53"/>
      <c r="B16" s="109" t="s">
        <v>238</v>
      </c>
      <c r="C16" s="53">
        <v>1</v>
      </c>
      <c r="D16" s="120" t="s">
        <v>213</v>
      </c>
      <c r="E16" s="13"/>
      <c r="F16" s="398">
        <v>17</v>
      </c>
      <c r="G16" s="143"/>
      <c r="H16" s="29"/>
      <c r="I16" s="29"/>
      <c r="J16" s="52">
        <f>J15+F16</f>
        <v>3498</v>
      </c>
    </row>
    <row r="17" spans="1:9" hidden="1" x14ac:dyDescent="0.25">
      <c r="A17" s="53">
        <v>1</v>
      </c>
      <c r="B17" s="109" t="s">
        <v>238</v>
      </c>
      <c r="C17" s="53">
        <v>1</v>
      </c>
      <c r="D17" s="399" t="s">
        <v>6</v>
      </c>
      <c r="E17" s="400"/>
      <c r="F17" s="401"/>
      <c r="G17" s="402"/>
      <c r="H17" s="403"/>
      <c r="I17" s="404"/>
    </row>
    <row r="18" spans="1:9" ht="45" hidden="1" customHeight="1" x14ac:dyDescent="0.25">
      <c r="A18" s="53">
        <v>1</v>
      </c>
      <c r="B18" s="109" t="s">
        <v>238</v>
      </c>
      <c r="C18" s="53">
        <v>1</v>
      </c>
      <c r="D18" s="1" t="s">
        <v>312</v>
      </c>
      <c r="E18" s="400"/>
      <c r="F18" s="405">
        <v>5000</v>
      </c>
      <c r="G18" s="402"/>
      <c r="H18" s="403"/>
      <c r="I18" s="404"/>
    </row>
    <row r="19" spans="1:9" ht="29.25" hidden="1" x14ac:dyDescent="0.25">
      <c r="A19" s="53"/>
      <c r="B19" s="109" t="s">
        <v>238</v>
      </c>
      <c r="C19" s="53">
        <v>1</v>
      </c>
      <c r="D19" s="21" t="s">
        <v>201</v>
      </c>
      <c r="E19" s="400"/>
      <c r="F19" s="405">
        <f>F18</f>
        <v>5000</v>
      </c>
      <c r="G19" s="402"/>
      <c r="H19" s="403"/>
      <c r="I19" s="404"/>
    </row>
    <row r="20" spans="1:9" hidden="1" x14ac:dyDescent="0.25">
      <c r="A20" s="53">
        <v>1</v>
      </c>
      <c r="B20" s="109" t="s">
        <v>238</v>
      </c>
      <c r="C20" s="53">
        <v>1</v>
      </c>
      <c r="D20" s="22" t="s">
        <v>109</v>
      </c>
      <c r="E20" s="400"/>
      <c r="F20" s="406">
        <f>F18</f>
        <v>5000</v>
      </c>
      <c r="G20" s="402"/>
      <c r="H20" s="403"/>
      <c r="I20" s="404"/>
    </row>
    <row r="21" spans="1:9" hidden="1" x14ac:dyDescent="0.25">
      <c r="A21" s="53">
        <v>1</v>
      </c>
      <c r="B21" s="109" t="s">
        <v>238</v>
      </c>
      <c r="C21" s="53">
        <v>1</v>
      </c>
      <c r="D21" s="44" t="s">
        <v>7</v>
      </c>
      <c r="E21" s="407"/>
      <c r="F21" s="408"/>
      <c r="G21" s="409"/>
      <c r="H21" s="409"/>
      <c r="I21" s="409"/>
    </row>
    <row r="22" spans="1:9" hidden="1" x14ac:dyDescent="0.25">
      <c r="A22" s="53">
        <v>1</v>
      </c>
      <c r="B22" s="109" t="s">
        <v>238</v>
      </c>
      <c r="C22" s="53">
        <v>1</v>
      </c>
      <c r="D22" s="306" t="s">
        <v>91</v>
      </c>
      <c r="E22" s="407"/>
      <c r="F22" s="408"/>
      <c r="G22" s="409"/>
      <c r="H22" s="409"/>
      <c r="I22" s="409"/>
    </row>
    <row r="23" spans="1:9" hidden="1" x14ac:dyDescent="0.25">
      <c r="A23" s="53">
        <v>1</v>
      </c>
      <c r="B23" s="109" t="s">
        <v>238</v>
      </c>
      <c r="C23" s="53">
        <v>1</v>
      </c>
      <c r="D23" s="410" t="s">
        <v>8</v>
      </c>
      <c r="E23" s="407">
        <v>300</v>
      </c>
      <c r="F23" s="408">
        <v>509</v>
      </c>
      <c r="G23" s="411">
        <v>7</v>
      </c>
      <c r="H23" s="409">
        <f>ROUND(I23/E23,0)</f>
        <v>12</v>
      </c>
      <c r="I23" s="2">
        <f>ROUND(F23*G23,0)</f>
        <v>3563</v>
      </c>
    </row>
    <row r="24" spans="1:9" hidden="1" x14ac:dyDescent="0.25">
      <c r="A24" s="53">
        <v>1</v>
      </c>
      <c r="B24" s="109" t="s">
        <v>238</v>
      </c>
      <c r="C24" s="53">
        <v>1</v>
      </c>
      <c r="D24" s="410" t="s">
        <v>75</v>
      </c>
      <c r="E24" s="407">
        <v>300</v>
      </c>
      <c r="F24" s="408">
        <v>509</v>
      </c>
      <c r="G24" s="411">
        <v>7</v>
      </c>
      <c r="H24" s="409">
        <f>ROUND(I24/E24,0)</f>
        <v>12</v>
      </c>
      <c r="I24" s="2">
        <f>ROUND(F24*G24,0)</f>
        <v>3563</v>
      </c>
    </row>
    <row r="25" spans="1:9" hidden="1" x14ac:dyDescent="0.25">
      <c r="A25" s="53">
        <v>1</v>
      </c>
      <c r="B25" s="109" t="s">
        <v>238</v>
      </c>
      <c r="C25" s="53">
        <v>1</v>
      </c>
      <c r="D25" s="412" t="s">
        <v>9</v>
      </c>
      <c r="E25" s="407"/>
      <c r="F25" s="413">
        <f>SUM(F23:F24)</f>
        <v>1018</v>
      </c>
      <c r="G25" s="143">
        <f>I25/F25</f>
        <v>7</v>
      </c>
      <c r="H25" s="414">
        <f>H23+H24</f>
        <v>24</v>
      </c>
      <c r="I25" s="414">
        <f>I23+I24</f>
        <v>7126</v>
      </c>
    </row>
    <row r="26" spans="1:9" hidden="1" x14ac:dyDescent="0.25">
      <c r="A26" s="53">
        <v>1</v>
      </c>
      <c r="B26" s="109" t="s">
        <v>238</v>
      </c>
      <c r="C26" s="53">
        <v>1</v>
      </c>
      <c r="D26" s="415" t="s">
        <v>87</v>
      </c>
      <c r="E26" s="416"/>
      <c r="F26" s="413">
        <f>F25</f>
        <v>1018</v>
      </c>
      <c r="G26" s="143">
        <f>I26/F26</f>
        <v>7</v>
      </c>
      <c r="H26" s="414">
        <f>H25</f>
        <v>24</v>
      </c>
      <c r="I26" s="414">
        <f>I25</f>
        <v>7126</v>
      </c>
    </row>
    <row r="27" spans="1:9" ht="15.75" hidden="1" thickBot="1" x14ac:dyDescent="0.3">
      <c r="A27" s="53">
        <v>1</v>
      </c>
      <c r="B27" s="109" t="s">
        <v>238</v>
      </c>
      <c r="C27" s="53">
        <v>1</v>
      </c>
      <c r="D27" s="417" t="s">
        <v>220</v>
      </c>
      <c r="E27" s="418"/>
      <c r="F27" s="419"/>
      <c r="G27" s="420"/>
      <c r="H27" s="420"/>
      <c r="I27" s="420"/>
    </row>
    <row r="28" spans="1:9" hidden="1" x14ac:dyDescent="0.25">
      <c r="A28" s="53">
        <v>1</v>
      </c>
      <c r="B28" s="53"/>
      <c r="C28" s="53">
        <v>1</v>
      </c>
      <c r="D28" s="421"/>
      <c r="E28" s="422"/>
      <c r="F28" s="423"/>
      <c r="G28" s="424"/>
      <c r="H28" s="424"/>
      <c r="I28" s="424"/>
    </row>
    <row r="29" spans="1:9" ht="50.25" customHeight="1" x14ac:dyDescent="0.25">
      <c r="A29" s="53">
        <v>1</v>
      </c>
      <c r="B29" s="109" t="s">
        <v>239</v>
      </c>
      <c r="C29" s="53">
        <v>1</v>
      </c>
      <c r="D29" s="674" t="s">
        <v>381</v>
      </c>
      <c r="E29" s="54"/>
      <c r="F29" s="55"/>
      <c r="G29" s="2"/>
      <c r="H29" s="2"/>
      <c r="I29" s="2"/>
    </row>
    <row r="30" spans="1:9" x14ac:dyDescent="0.25">
      <c r="A30" s="53">
        <v>1</v>
      </c>
      <c r="B30" s="109" t="s">
        <v>239</v>
      </c>
      <c r="C30" s="53">
        <v>1</v>
      </c>
      <c r="D30" s="395" t="s">
        <v>4</v>
      </c>
      <c r="E30" s="54"/>
      <c r="F30" s="55"/>
      <c r="G30" s="2"/>
      <c r="H30" s="2"/>
      <c r="I30" s="2"/>
    </row>
    <row r="31" spans="1:9" x14ac:dyDescent="0.25">
      <c r="A31" s="53">
        <v>1</v>
      </c>
      <c r="B31" s="109" t="s">
        <v>239</v>
      </c>
      <c r="C31" s="53">
        <v>1</v>
      </c>
      <c r="D31" s="396" t="s">
        <v>21</v>
      </c>
      <c r="E31" s="54">
        <v>340</v>
      </c>
      <c r="F31" s="55">
        <v>2046</v>
      </c>
      <c r="G31" s="47">
        <v>6.5</v>
      </c>
      <c r="H31" s="2">
        <f t="shared" ref="H31:H39" si="0">ROUND(I31/E31,0)</f>
        <v>39</v>
      </c>
      <c r="I31" s="2">
        <f t="shared" ref="I31:I39" si="1">ROUND(F31*G31,0)</f>
        <v>13299</v>
      </c>
    </row>
    <row r="32" spans="1:9" x14ac:dyDescent="0.25">
      <c r="A32" s="53">
        <v>1</v>
      </c>
      <c r="B32" s="109" t="s">
        <v>239</v>
      </c>
      <c r="C32" s="53">
        <v>1</v>
      </c>
      <c r="D32" s="396" t="s">
        <v>25</v>
      </c>
      <c r="E32" s="54">
        <v>270</v>
      </c>
      <c r="F32" s="55">
        <f>3457+7</f>
        <v>3464</v>
      </c>
      <c r="G32" s="47">
        <v>7.5</v>
      </c>
      <c r="H32" s="2">
        <f t="shared" si="0"/>
        <v>96</v>
      </c>
      <c r="I32" s="2">
        <f t="shared" si="1"/>
        <v>25980</v>
      </c>
    </row>
    <row r="33" spans="1:13" x14ac:dyDescent="0.25">
      <c r="A33" s="53">
        <v>1</v>
      </c>
      <c r="B33" s="109" t="s">
        <v>239</v>
      </c>
      <c r="C33" s="53">
        <v>1</v>
      </c>
      <c r="D33" s="396" t="s">
        <v>74</v>
      </c>
      <c r="E33" s="54">
        <v>340</v>
      </c>
      <c r="F33" s="55">
        <v>2728</v>
      </c>
      <c r="G33" s="47">
        <v>10</v>
      </c>
      <c r="H33" s="2">
        <f t="shared" si="0"/>
        <v>80</v>
      </c>
      <c r="I33" s="2">
        <f t="shared" si="1"/>
        <v>27280</v>
      </c>
    </row>
    <row r="34" spans="1:13" x14ac:dyDescent="0.25">
      <c r="A34" s="53">
        <v>1</v>
      </c>
      <c r="B34" s="109" t="s">
        <v>239</v>
      </c>
      <c r="C34" s="53">
        <v>1</v>
      </c>
      <c r="D34" s="396" t="s">
        <v>12</v>
      </c>
      <c r="E34" s="54">
        <v>340</v>
      </c>
      <c r="F34" s="55">
        <v>925</v>
      </c>
      <c r="G34" s="47">
        <v>10.6</v>
      </c>
      <c r="H34" s="2">
        <f t="shared" si="0"/>
        <v>29</v>
      </c>
      <c r="I34" s="2">
        <f t="shared" si="1"/>
        <v>9805</v>
      </c>
    </row>
    <row r="35" spans="1:13" x14ac:dyDescent="0.25">
      <c r="A35" s="53">
        <v>1</v>
      </c>
      <c r="B35" s="109" t="s">
        <v>239</v>
      </c>
      <c r="C35" s="53">
        <v>1</v>
      </c>
      <c r="D35" s="396" t="s">
        <v>13</v>
      </c>
      <c r="E35" s="54">
        <v>340</v>
      </c>
      <c r="F35" s="55">
        <v>539</v>
      </c>
      <c r="G35" s="47">
        <v>12.8</v>
      </c>
      <c r="H35" s="2">
        <f t="shared" si="0"/>
        <v>20</v>
      </c>
      <c r="I35" s="2">
        <f t="shared" si="1"/>
        <v>6899</v>
      </c>
    </row>
    <row r="36" spans="1:13" x14ac:dyDescent="0.25">
      <c r="A36" s="53">
        <v>1</v>
      </c>
      <c r="B36" s="109" t="s">
        <v>239</v>
      </c>
      <c r="C36" s="53">
        <v>1</v>
      </c>
      <c r="D36" s="396" t="s">
        <v>19</v>
      </c>
      <c r="E36" s="54">
        <v>340</v>
      </c>
      <c r="F36" s="55">
        <v>1178</v>
      </c>
      <c r="G36" s="47">
        <v>11</v>
      </c>
      <c r="H36" s="2">
        <f t="shared" si="0"/>
        <v>38</v>
      </c>
      <c r="I36" s="2">
        <f t="shared" si="1"/>
        <v>12958</v>
      </c>
    </row>
    <row r="37" spans="1:13" x14ac:dyDescent="0.25">
      <c r="A37" s="53">
        <v>1</v>
      </c>
      <c r="B37" s="109" t="s">
        <v>239</v>
      </c>
      <c r="C37" s="53">
        <v>1</v>
      </c>
      <c r="D37" s="396" t="s">
        <v>14</v>
      </c>
      <c r="E37" s="54">
        <v>340</v>
      </c>
      <c r="F37" s="55">
        <v>568</v>
      </c>
      <c r="G37" s="47">
        <v>5</v>
      </c>
      <c r="H37" s="2">
        <f t="shared" si="0"/>
        <v>8</v>
      </c>
      <c r="I37" s="2">
        <f t="shared" si="1"/>
        <v>2840</v>
      </c>
    </row>
    <row r="38" spans="1:13" x14ac:dyDescent="0.25">
      <c r="A38" s="53">
        <v>1</v>
      </c>
      <c r="B38" s="109" t="s">
        <v>239</v>
      </c>
      <c r="C38" s="53">
        <v>1</v>
      </c>
      <c r="D38" s="396" t="s">
        <v>11</v>
      </c>
      <c r="E38" s="54">
        <v>340</v>
      </c>
      <c r="F38" s="55">
        <v>1903</v>
      </c>
      <c r="G38" s="47">
        <v>10</v>
      </c>
      <c r="H38" s="2">
        <f t="shared" si="0"/>
        <v>56</v>
      </c>
      <c r="I38" s="2">
        <f t="shared" si="1"/>
        <v>19030</v>
      </c>
    </row>
    <row r="39" spans="1:13" x14ac:dyDescent="0.25">
      <c r="A39" s="53">
        <v>1</v>
      </c>
      <c r="B39" s="109" t="s">
        <v>239</v>
      </c>
      <c r="C39" s="53">
        <v>1</v>
      </c>
      <c r="D39" s="396" t="s">
        <v>10</v>
      </c>
      <c r="E39" s="54">
        <v>340</v>
      </c>
      <c r="F39" s="55">
        <v>1116</v>
      </c>
      <c r="G39" s="47">
        <v>9.1</v>
      </c>
      <c r="H39" s="2">
        <f t="shared" si="0"/>
        <v>30</v>
      </c>
      <c r="I39" s="2">
        <f t="shared" si="1"/>
        <v>10156</v>
      </c>
    </row>
    <row r="40" spans="1:13" x14ac:dyDescent="0.25">
      <c r="A40" s="53">
        <v>1</v>
      </c>
      <c r="B40" s="109" t="s">
        <v>239</v>
      </c>
      <c r="C40" s="53">
        <v>1</v>
      </c>
      <c r="D40" s="397" t="s">
        <v>5</v>
      </c>
      <c r="E40" s="54"/>
      <c r="F40" s="398">
        <f>SUM(F31:F39)</f>
        <v>14467</v>
      </c>
      <c r="G40" s="143">
        <f>I40/F40</f>
        <v>8.8647957420335945</v>
      </c>
      <c r="H40" s="29">
        <f>SUM(H31:H39)</f>
        <v>396</v>
      </c>
      <c r="I40" s="425">
        <f>SUM(I31:I39)</f>
        <v>128247</v>
      </c>
      <c r="J40" s="52">
        <f>F40-F41</f>
        <v>14367</v>
      </c>
      <c r="K40" s="426"/>
      <c r="L40" s="427"/>
      <c r="M40" s="427"/>
    </row>
    <row r="41" spans="1:13" x14ac:dyDescent="0.25">
      <c r="A41" s="53"/>
      <c r="B41" s="109" t="s">
        <v>239</v>
      </c>
      <c r="C41" s="53">
        <v>1</v>
      </c>
      <c r="D41" s="120" t="s">
        <v>213</v>
      </c>
      <c r="E41" s="54"/>
      <c r="F41" s="398">
        <v>100</v>
      </c>
      <c r="G41" s="143"/>
      <c r="H41" s="29"/>
      <c r="I41" s="425"/>
    </row>
    <row r="42" spans="1:13" s="58" customFormat="1" ht="44.25" customHeight="1" x14ac:dyDescent="0.25">
      <c r="A42" s="53">
        <v>1</v>
      </c>
      <c r="B42" s="109" t="s">
        <v>239</v>
      </c>
      <c r="C42" s="53">
        <v>1</v>
      </c>
      <c r="D42" s="428" t="s">
        <v>294</v>
      </c>
      <c r="E42" s="12"/>
      <c r="F42" s="429"/>
      <c r="G42" s="57"/>
      <c r="H42" s="57"/>
      <c r="I42" s="57"/>
      <c r="J42" s="430"/>
    </row>
    <row r="43" spans="1:13" s="58" customFormat="1" x14ac:dyDescent="0.25">
      <c r="A43" s="53"/>
      <c r="B43" s="109" t="s">
        <v>239</v>
      </c>
      <c r="C43" s="53">
        <v>1</v>
      </c>
      <c r="D43" s="14" t="s">
        <v>187</v>
      </c>
      <c r="E43" s="12"/>
      <c r="F43" s="429">
        <f>F44+F45+F46+F47+F48+F50</f>
        <v>66986</v>
      </c>
      <c r="G43" s="57"/>
      <c r="H43" s="57"/>
      <c r="I43" s="57"/>
      <c r="J43" s="430"/>
    </row>
    <row r="44" spans="1:13" s="58" customFormat="1" x14ac:dyDescent="0.25">
      <c r="A44" s="53"/>
      <c r="B44" s="109" t="s">
        <v>239</v>
      </c>
      <c r="C44" s="53">
        <v>1</v>
      </c>
      <c r="D44" s="18" t="s">
        <v>113</v>
      </c>
      <c r="E44" s="12"/>
      <c r="F44" s="429"/>
      <c r="G44" s="57"/>
      <c r="H44" s="57"/>
      <c r="I44" s="57"/>
      <c r="J44" s="430"/>
    </row>
    <row r="45" spans="1:13" s="58" customFormat="1" ht="30" x14ac:dyDescent="0.25">
      <c r="A45" s="53"/>
      <c r="B45" s="109" t="s">
        <v>239</v>
      </c>
      <c r="C45" s="53">
        <v>1</v>
      </c>
      <c r="D45" s="18" t="s">
        <v>114</v>
      </c>
      <c r="E45" s="12"/>
      <c r="F45" s="59">
        <v>20000</v>
      </c>
      <c r="G45" s="57"/>
      <c r="H45" s="57"/>
      <c r="I45" s="57"/>
      <c r="J45" s="430"/>
    </row>
    <row r="46" spans="1:13" s="58" customFormat="1" ht="30" x14ac:dyDescent="0.25">
      <c r="A46" s="53"/>
      <c r="B46" s="109" t="s">
        <v>239</v>
      </c>
      <c r="C46" s="53">
        <v>1</v>
      </c>
      <c r="D46" s="15" t="s">
        <v>361</v>
      </c>
      <c r="E46" s="12"/>
      <c r="F46" s="59">
        <v>15635</v>
      </c>
      <c r="G46" s="57"/>
      <c r="H46" s="57"/>
      <c r="I46" s="57"/>
      <c r="J46" s="430"/>
    </row>
    <row r="47" spans="1:13" s="58" customFormat="1" ht="45" x14ac:dyDescent="0.25">
      <c r="A47" s="53"/>
      <c r="B47" s="109" t="s">
        <v>239</v>
      </c>
      <c r="C47" s="53">
        <v>1</v>
      </c>
      <c r="D47" s="15" t="s">
        <v>219</v>
      </c>
      <c r="E47" s="12"/>
      <c r="F47" s="59">
        <v>4000</v>
      </c>
      <c r="G47" s="57"/>
      <c r="H47" s="57"/>
      <c r="I47" s="57"/>
      <c r="J47" s="430"/>
    </row>
    <row r="48" spans="1:13" s="58" customFormat="1" ht="45" x14ac:dyDescent="0.25">
      <c r="A48" s="53"/>
      <c r="B48" s="109" t="s">
        <v>239</v>
      </c>
      <c r="C48" s="53">
        <v>1</v>
      </c>
      <c r="D48" s="15" t="s">
        <v>207</v>
      </c>
      <c r="E48" s="12"/>
      <c r="F48" s="59">
        <v>21987</v>
      </c>
      <c r="G48" s="57"/>
      <c r="H48" s="57"/>
      <c r="I48" s="57"/>
      <c r="J48" s="430"/>
    </row>
    <row r="49" spans="1:10" s="58" customFormat="1" ht="75" x14ac:dyDescent="0.25">
      <c r="A49" s="53"/>
      <c r="B49" s="109"/>
      <c r="C49" s="53">
        <v>1</v>
      </c>
      <c r="D49" s="15" t="s">
        <v>353</v>
      </c>
      <c r="E49" s="255"/>
      <c r="F49" s="431">
        <v>15000</v>
      </c>
      <c r="G49" s="57"/>
      <c r="H49" s="57"/>
      <c r="I49" s="57"/>
      <c r="J49" s="430"/>
    </row>
    <row r="50" spans="1:10" s="58" customFormat="1" ht="16.149999999999999" customHeight="1" x14ac:dyDescent="0.25">
      <c r="A50" s="53"/>
      <c r="B50" s="109"/>
      <c r="C50" s="53">
        <v>1</v>
      </c>
      <c r="D50" s="15" t="s">
        <v>293</v>
      </c>
      <c r="E50" s="281"/>
      <c r="F50" s="55">
        <v>5364</v>
      </c>
      <c r="G50" s="57"/>
      <c r="H50" s="57"/>
      <c r="I50" s="57"/>
      <c r="J50" s="430"/>
    </row>
    <row r="51" spans="1:10" s="58" customFormat="1" x14ac:dyDescent="0.25">
      <c r="A51" s="53"/>
      <c r="B51" s="109" t="s">
        <v>239</v>
      </c>
      <c r="C51" s="53">
        <v>1</v>
      </c>
      <c r="D51" s="60" t="s">
        <v>88</v>
      </c>
      <c r="E51" s="12"/>
      <c r="F51" s="429">
        <f>F52</f>
        <v>63796</v>
      </c>
      <c r="G51" s="57"/>
      <c r="H51" s="57"/>
      <c r="I51" s="57"/>
      <c r="J51" s="430"/>
    </row>
    <row r="52" spans="1:10" s="58" customFormat="1" x14ac:dyDescent="0.25">
      <c r="A52" s="53"/>
      <c r="B52" s="109" t="s">
        <v>239</v>
      </c>
      <c r="C52" s="53">
        <v>1</v>
      </c>
      <c r="D52" s="19" t="s">
        <v>145</v>
      </c>
      <c r="E52" s="12"/>
      <c r="F52" s="59">
        <v>63796</v>
      </c>
      <c r="G52" s="57"/>
      <c r="H52" s="57"/>
      <c r="I52" s="57"/>
      <c r="J52" s="430"/>
    </row>
    <row r="53" spans="1:10" s="58" customFormat="1" ht="47.25" x14ac:dyDescent="0.25">
      <c r="A53" s="53"/>
      <c r="B53" s="109" t="s">
        <v>239</v>
      </c>
      <c r="C53" s="53">
        <v>1</v>
      </c>
      <c r="D53" s="61" t="s">
        <v>292</v>
      </c>
      <c r="E53" s="12"/>
      <c r="F53" s="429">
        <f>F54+F59</f>
        <v>21946</v>
      </c>
      <c r="G53" s="57"/>
      <c r="H53" s="57"/>
      <c r="I53" s="57"/>
      <c r="J53" s="430"/>
    </row>
    <row r="54" spans="1:10" s="58" customFormat="1" ht="17.25" customHeight="1" x14ac:dyDescent="0.25">
      <c r="A54" s="53"/>
      <c r="B54" s="109" t="s">
        <v>239</v>
      </c>
      <c r="C54" s="53">
        <v>1</v>
      </c>
      <c r="D54" s="16" t="s">
        <v>189</v>
      </c>
      <c r="E54" s="12"/>
      <c r="F54" s="429">
        <f>F55+F56+F57+F58</f>
        <v>16254</v>
      </c>
      <c r="G54" s="57"/>
      <c r="H54" s="57"/>
      <c r="I54" s="57"/>
      <c r="J54" s="430"/>
    </row>
    <row r="55" spans="1:10" s="58" customFormat="1" ht="18" customHeight="1" x14ac:dyDescent="0.25">
      <c r="A55" s="53"/>
      <c r="B55" s="109" t="s">
        <v>239</v>
      </c>
      <c r="C55" s="53">
        <v>1</v>
      </c>
      <c r="D55" s="15" t="s">
        <v>190</v>
      </c>
      <c r="E55" s="12"/>
      <c r="F55" s="59">
        <v>16254</v>
      </c>
      <c r="G55" s="57"/>
      <c r="H55" s="57"/>
      <c r="I55" s="57"/>
      <c r="J55" s="430"/>
    </row>
    <row r="56" spans="1:10" s="58" customFormat="1" ht="45" x14ac:dyDescent="0.25">
      <c r="A56" s="53"/>
      <c r="B56" s="109" t="s">
        <v>239</v>
      </c>
      <c r="C56" s="53">
        <v>1</v>
      </c>
      <c r="D56" s="15" t="s">
        <v>191</v>
      </c>
      <c r="E56" s="12"/>
      <c r="F56" s="429"/>
      <c r="G56" s="57"/>
      <c r="H56" s="57"/>
      <c r="I56" s="57"/>
      <c r="J56" s="430"/>
    </row>
    <row r="57" spans="1:10" s="58" customFormat="1" ht="30" x14ac:dyDescent="0.25">
      <c r="A57" s="53"/>
      <c r="B57" s="109" t="s">
        <v>239</v>
      </c>
      <c r="C57" s="53">
        <v>1</v>
      </c>
      <c r="D57" s="15" t="s">
        <v>192</v>
      </c>
      <c r="E57" s="12"/>
      <c r="F57" s="429"/>
      <c r="G57" s="57"/>
      <c r="H57" s="57"/>
      <c r="I57" s="57"/>
      <c r="J57" s="430"/>
    </row>
    <row r="58" spans="1:10" s="58" customFormat="1" ht="30" x14ac:dyDescent="0.25">
      <c r="A58" s="53"/>
      <c r="B58" s="109" t="s">
        <v>239</v>
      </c>
      <c r="C58" s="53">
        <v>1</v>
      </c>
      <c r="D58" s="15" t="s">
        <v>193</v>
      </c>
      <c r="E58" s="12"/>
      <c r="F58" s="429"/>
      <c r="G58" s="57"/>
      <c r="H58" s="57"/>
      <c r="I58" s="57"/>
      <c r="J58" s="430"/>
    </row>
    <row r="59" spans="1:10" s="58" customFormat="1" ht="30" x14ac:dyDescent="0.25">
      <c r="A59" s="53"/>
      <c r="B59" s="109" t="s">
        <v>239</v>
      </c>
      <c r="C59" s="53">
        <v>1</v>
      </c>
      <c r="D59" s="16" t="s">
        <v>194</v>
      </c>
      <c r="E59" s="12"/>
      <c r="F59" s="429">
        <f>F60+F61+F62</f>
        <v>5692</v>
      </c>
      <c r="G59" s="57"/>
      <c r="H59" s="57"/>
      <c r="I59" s="57"/>
      <c r="J59" s="430"/>
    </row>
    <row r="60" spans="1:10" s="58" customFormat="1" ht="30" x14ac:dyDescent="0.25">
      <c r="A60" s="53"/>
      <c r="B60" s="109" t="s">
        <v>239</v>
      </c>
      <c r="C60" s="53">
        <v>1</v>
      </c>
      <c r="D60" s="15" t="s">
        <v>195</v>
      </c>
      <c r="E60" s="12"/>
      <c r="F60" s="59">
        <v>5692</v>
      </c>
      <c r="G60" s="57"/>
      <c r="H60" s="57"/>
      <c r="I60" s="57"/>
      <c r="J60" s="430"/>
    </row>
    <row r="61" spans="1:10" s="58" customFormat="1" ht="45" x14ac:dyDescent="0.25">
      <c r="A61" s="53"/>
      <c r="B61" s="109" t="s">
        <v>239</v>
      </c>
      <c r="C61" s="53">
        <v>1</v>
      </c>
      <c r="D61" s="15" t="s">
        <v>196</v>
      </c>
      <c r="E61" s="12"/>
      <c r="F61" s="429"/>
      <c r="G61" s="57"/>
      <c r="H61" s="57"/>
      <c r="I61" s="57"/>
      <c r="J61" s="430"/>
    </row>
    <row r="62" spans="1:10" s="58" customFormat="1" ht="45" x14ac:dyDescent="0.25">
      <c r="A62" s="53">
        <v>1</v>
      </c>
      <c r="B62" s="109" t="s">
        <v>239</v>
      </c>
      <c r="C62" s="53">
        <v>1</v>
      </c>
      <c r="D62" s="15" t="s">
        <v>197</v>
      </c>
      <c r="E62" s="62"/>
      <c r="F62" s="63"/>
      <c r="G62" s="57"/>
      <c r="H62" s="57"/>
      <c r="I62" s="57"/>
      <c r="J62" s="430"/>
    </row>
    <row r="63" spans="1:10" s="58" customFormat="1" x14ac:dyDescent="0.25">
      <c r="A63" s="53"/>
      <c r="B63" s="109"/>
      <c r="C63" s="53">
        <v>1</v>
      </c>
      <c r="D63" s="33" t="s">
        <v>96</v>
      </c>
      <c r="E63" s="62"/>
      <c r="F63" s="63"/>
      <c r="G63" s="57"/>
      <c r="H63" s="57"/>
      <c r="I63" s="57"/>
      <c r="J63" s="430"/>
    </row>
    <row r="64" spans="1:10" s="58" customFormat="1" x14ac:dyDescent="0.25">
      <c r="A64" s="53">
        <v>1</v>
      </c>
      <c r="B64" s="109" t="s">
        <v>239</v>
      </c>
      <c r="C64" s="53">
        <v>1</v>
      </c>
      <c r="D64" s="14" t="s">
        <v>296</v>
      </c>
      <c r="E64" s="62"/>
      <c r="F64" s="432">
        <f>F65+F66+F70+F71+F72+F73</f>
        <v>8005</v>
      </c>
      <c r="G64" s="57"/>
      <c r="H64" s="57"/>
      <c r="I64" s="57"/>
      <c r="J64" s="52"/>
    </row>
    <row r="65" spans="1:10" s="58" customFormat="1" x14ac:dyDescent="0.25">
      <c r="A65" s="53">
        <v>1</v>
      </c>
      <c r="B65" s="109" t="s">
        <v>239</v>
      </c>
      <c r="C65" s="53">
        <v>1</v>
      </c>
      <c r="D65" s="15" t="s">
        <v>297</v>
      </c>
      <c r="E65" s="62"/>
      <c r="F65" s="55"/>
      <c r="G65" s="57"/>
      <c r="H65" s="57"/>
      <c r="I65" s="57"/>
      <c r="J65" s="52"/>
    </row>
    <row r="66" spans="1:10" s="58" customFormat="1" ht="30" x14ac:dyDescent="0.25">
      <c r="A66" s="53">
        <v>1</v>
      </c>
      <c r="B66" s="109" t="s">
        <v>239</v>
      </c>
      <c r="C66" s="53">
        <v>1</v>
      </c>
      <c r="D66" s="16" t="s">
        <v>298</v>
      </c>
      <c r="E66" s="62"/>
      <c r="F66" s="55">
        <f>F67+F68/4+F69</f>
        <v>1119</v>
      </c>
      <c r="G66" s="57"/>
      <c r="H66" s="57"/>
      <c r="I66" s="57"/>
      <c r="J66" s="52"/>
    </row>
    <row r="67" spans="1:10" s="124" customFormat="1" x14ac:dyDescent="0.25">
      <c r="A67" s="104"/>
      <c r="B67" s="109" t="s">
        <v>239</v>
      </c>
      <c r="C67" s="53">
        <v>1</v>
      </c>
      <c r="D67" s="15" t="s">
        <v>299</v>
      </c>
      <c r="E67" s="13"/>
      <c r="F67" s="17">
        <v>1119</v>
      </c>
      <c r="G67" s="10"/>
      <c r="H67" s="10"/>
      <c r="I67" s="10"/>
      <c r="J67" s="52"/>
    </row>
    <row r="68" spans="1:10" s="58" customFormat="1" ht="30" x14ac:dyDescent="0.25">
      <c r="A68" s="53">
        <v>1</v>
      </c>
      <c r="B68" s="109" t="s">
        <v>239</v>
      </c>
      <c r="C68" s="53">
        <v>1</v>
      </c>
      <c r="D68" s="15" t="s">
        <v>300</v>
      </c>
      <c r="E68" s="62"/>
      <c r="F68" s="55"/>
      <c r="G68" s="57"/>
      <c r="H68" s="57"/>
      <c r="I68" s="57"/>
      <c r="J68" s="52"/>
    </row>
    <row r="69" spans="1:10" s="58" customFormat="1" ht="45" x14ac:dyDescent="0.25">
      <c r="A69" s="53">
        <v>1</v>
      </c>
      <c r="B69" s="109" t="s">
        <v>239</v>
      </c>
      <c r="C69" s="53">
        <v>1</v>
      </c>
      <c r="D69" s="15" t="s">
        <v>301</v>
      </c>
      <c r="E69" s="62"/>
      <c r="F69" s="433"/>
      <c r="G69" s="57"/>
      <c r="H69" s="57"/>
      <c r="I69" s="57"/>
      <c r="J69" s="52"/>
    </row>
    <row r="70" spans="1:10" s="58" customFormat="1" ht="45" x14ac:dyDescent="0.25">
      <c r="A70" s="53">
        <v>1</v>
      </c>
      <c r="B70" s="109" t="s">
        <v>239</v>
      </c>
      <c r="C70" s="53">
        <v>1</v>
      </c>
      <c r="D70" s="15" t="s">
        <v>309</v>
      </c>
      <c r="E70" s="64"/>
      <c r="F70" s="432"/>
      <c r="G70" s="65"/>
      <c r="H70" s="65"/>
      <c r="I70" s="43"/>
      <c r="J70" s="52"/>
    </row>
    <row r="71" spans="1:10" s="58" customFormat="1" ht="45" x14ac:dyDescent="0.25">
      <c r="A71" s="53">
        <v>1</v>
      </c>
      <c r="B71" s="109" t="s">
        <v>239</v>
      </c>
      <c r="C71" s="53">
        <v>1</v>
      </c>
      <c r="D71" s="18" t="s">
        <v>310</v>
      </c>
      <c r="E71" s="13"/>
      <c r="F71" s="55">
        <v>400</v>
      </c>
      <c r="G71" s="65"/>
      <c r="H71" s="65"/>
      <c r="I71" s="43"/>
      <c r="J71" s="52"/>
    </row>
    <row r="72" spans="1:10" s="58" customFormat="1" ht="75" x14ac:dyDescent="0.25">
      <c r="A72" s="53"/>
      <c r="B72" s="109"/>
      <c r="C72" s="53">
        <v>1</v>
      </c>
      <c r="D72" s="18" t="s">
        <v>354</v>
      </c>
      <c r="E72" s="13"/>
      <c r="F72" s="55">
        <v>2000</v>
      </c>
      <c r="G72" s="65"/>
      <c r="H72" s="65"/>
      <c r="I72" s="43"/>
      <c r="J72" s="52"/>
    </row>
    <row r="73" spans="1:10" s="58" customFormat="1" ht="28.5" x14ac:dyDescent="0.25">
      <c r="A73" s="53"/>
      <c r="B73" s="109"/>
      <c r="C73" s="53">
        <v>1</v>
      </c>
      <c r="D73" s="66" t="s">
        <v>344</v>
      </c>
      <c r="E73" s="13"/>
      <c r="F73" s="55">
        <f>F74</f>
        <v>4486</v>
      </c>
      <c r="G73" s="65"/>
      <c r="H73" s="65"/>
      <c r="I73" s="43"/>
      <c r="J73" s="52"/>
    </row>
    <row r="74" spans="1:10" s="58" customFormat="1" x14ac:dyDescent="0.25">
      <c r="A74" s="53"/>
      <c r="B74" s="109"/>
      <c r="C74" s="53">
        <v>1</v>
      </c>
      <c r="D74" s="18" t="s">
        <v>345</v>
      </c>
      <c r="E74" s="13"/>
      <c r="F74" s="55">
        <v>4486</v>
      </c>
      <c r="G74" s="65"/>
      <c r="H74" s="65"/>
      <c r="I74" s="43"/>
      <c r="J74" s="52"/>
    </row>
    <row r="75" spans="1:10" s="58" customFormat="1" ht="28.5" x14ac:dyDescent="0.25">
      <c r="A75" s="53"/>
      <c r="B75" s="109"/>
      <c r="C75" s="53">
        <v>1</v>
      </c>
      <c r="D75" s="66" t="s">
        <v>346</v>
      </c>
      <c r="E75" s="13"/>
      <c r="F75" s="55"/>
      <c r="G75" s="65"/>
      <c r="H75" s="65"/>
      <c r="I75" s="43"/>
      <c r="J75" s="52"/>
    </row>
    <row r="76" spans="1:10" s="58" customFormat="1" x14ac:dyDescent="0.25">
      <c r="A76" s="53">
        <v>1</v>
      </c>
      <c r="B76" s="109" t="s">
        <v>239</v>
      </c>
      <c r="C76" s="53">
        <v>1</v>
      </c>
      <c r="D76" s="14" t="s">
        <v>303</v>
      </c>
      <c r="E76" s="13"/>
      <c r="F76" s="55">
        <f>F77+F78</f>
        <v>200</v>
      </c>
      <c r="G76" s="65"/>
      <c r="H76" s="65"/>
      <c r="I76" s="43"/>
      <c r="J76" s="52"/>
    </row>
    <row r="77" spans="1:10" s="58" customFormat="1" x14ac:dyDescent="0.25">
      <c r="A77" s="53"/>
      <c r="B77" s="109" t="s">
        <v>239</v>
      </c>
      <c r="C77" s="53">
        <v>1</v>
      </c>
      <c r="D77" s="15" t="s">
        <v>304</v>
      </c>
      <c r="E77" s="13"/>
      <c r="F77" s="55">
        <v>200</v>
      </c>
      <c r="G77" s="65"/>
      <c r="H77" s="65"/>
      <c r="I77" s="43"/>
      <c r="J77" s="52"/>
    </row>
    <row r="78" spans="1:10" s="58" customFormat="1" x14ac:dyDescent="0.25">
      <c r="A78" s="53">
        <v>1</v>
      </c>
      <c r="B78" s="109" t="s">
        <v>239</v>
      </c>
      <c r="C78" s="53">
        <v>1</v>
      </c>
      <c r="D78" s="15" t="s">
        <v>305</v>
      </c>
      <c r="E78" s="13"/>
      <c r="F78" s="55">
        <f>F79/9.4</f>
        <v>0</v>
      </c>
      <c r="G78" s="65"/>
      <c r="H78" s="65"/>
      <c r="I78" s="43"/>
      <c r="J78" s="52"/>
    </row>
    <row r="79" spans="1:10" s="58" customFormat="1" x14ac:dyDescent="0.25">
      <c r="A79" s="53"/>
      <c r="B79" s="109"/>
      <c r="C79" s="53">
        <v>1</v>
      </c>
      <c r="D79" s="42" t="s">
        <v>314</v>
      </c>
      <c r="E79" s="13"/>
      <c r="F79" s="55"/>
      <c r="G79" s="65"/>
      <c r="H79" s="65"/>
      <c r="I79" s="43"/>
      <c r="J79" s="52"/>
    </row>
    <row r="80" spans="1:10" s="58" customFormat="1" ht="29.25" x14ac:dyDescent="0.25">
      <c r="A80" s="53">
        <v>1</v>
      </c>
      <c r="B80" s="109" t="s">
        <v>239</v>
      </c>
      <c r="C80" s="53">
        <v>1</v>
      </c>
      <c r="D80" s="14" t="s">
        <v>306</v>
      </c>
      <c r="E80" s="13"/>
      <c r="F80" s="55">
        <v>21500</v>
      </c>
      <c r="G80" s="65"/>
      <c r="H80" s="65"/>
      <c r="I80" s="43"/>
      <c r="J80" s="52"/>
    </row>
    <row r="81" spans="1:10" s="58" customFormat="1" x14ac:dyDescent="0.25">
      <c r="A81" s="53">
        <v>1</v>
      </c>
      <c r="B81" s="109" t="s">
        <v>239</v>
      </c>
      <c r="C81" s="53">
        <v>1</v>
      </c>
      <c r="D81" s="19" t="s">
        <v>115</v>
      </c>
      <c r="E81" s="13"/>
      <c r="F81" s="63">
        <v>13000</v>
      </c>
      <c r="G81" s="65"/>
      <c r="H81" s="65"/>
      <c r="I81" s="43"/>
      <c r="J81" s="52"/>
    </row>
    <row r="82" spans="1:10" s="58" customFormat="1" ht="57.75" x14ac:dyDescent="0.25">
      <c r="A82" s="53">
        <v>1</v>
      </c>
      <c r="B82" s="109" t="s">
        <v>239</v>
      </c>
      <c r="C82" s="53">
        <v>1</v>
      </c>
      <c r="D82" s="14" t="s">
        <v>312</v>
      </c>
      <c r="E82" s="13"/>
      <c r="F82" s="63">
        <v>7500</v>
      </c>
      <c r="G82" s="65"/>
      <c r="H82" s="65"/>
      <c r="I82" s="43"/>
      <c r="J82" s="52"/>
    </row>
    <row r="83" spans="1:10" s="58" customFormat="1" x14ac:dyDescent="0.25">
      <c r="A83" s="53">
        <v>1</v>
      </c>
      <c r="B83" s="109" t="s">
        <v>239</v>
      </c>
      <c r="C83" s="53">
        <v>1</v>
      </c>
      <c r="D83" s="20" t="s">
        <v>158</v>
      </c>
      <c r="E83" s="13"/>
      <c r="F83" s="432">
        <f>SUM(F84:F94)</f>
        <v>14482</v>
      </c>
      <c r="G83" s="65"/>
      <c r="H83" s="65"/>
      <c r="I83" s="43"/>
      <c r="J83" s="52"/>
    </row>
    <row r="84" spans="1:10" x14ac:dyDescent="0.25">
      <c r="A84" s="53">
        <v>1</v>
      </c>
      <c r="B84" s="109" t="s">
        <v>239</v>
      </c>
      <c r="C84" s="53">
        <v>1</v>
      </c>
      <c r="D84" s="208" t="s">
        <v>166</v>
      </c>
      <c r="E84" s="13"/>
      <c r="F84" s="55">
        <v>350</v>
      </c>
      <c r="G84" s="2"/>
      <c r="H84" s="2"/>
      <c r="I84" s="2"/>
    </row>
    <row r="85" spans="1:10" ht="30" x14ac:dyDescent="0.25">
      <c r="A85" s="53"/>
      <c r="B85" s="109"/>
      <c r="C85" s="53">
        <v>1</v>
      </c>
      <c r="D85" s="208" t="s">
        <v>348</v>
      </c>
      <c r="E85" s="13"/>
      <c r="F85" s="55">
        <v>84</v>
      </c>
      <c r="G85" s="2"/>
      <c r="H85" s="2"/>
      <c r="I85" s="2"/>
    </row>
    <row r="86" spans="1:10" x14ac:dyDescent="0.25">
      <c r="A86" s="53">
        <v>1</v>
      </c>
      <c r="B86" s="109" t="s">
        <v>239</v>
      </c>
      <c r="C86" s="53">
        <v>1</v>
      </c>
      <c r="D86" s="434" t="s">
        <v>17</v>
      </c>
      <c r="E86" s="13"/>
      <c r="F86" s="55">
        <v>1000</v>
      </c>
      <c r="G86" s="2"/>
      <c r="H86" s="2"/>
      <c r="I86" s="2"/>
    </row>
    <row r="87" spans="1:10" ht="30" x14ac:dyDescent="0.25">
      <c r="A87" s="53"/>
      <c r="B87" s="109" t="s">
        <v>239</v>
      </c>
      <c r="C87" s="53">
        <v>1</v>
      </c>
      <c r="D87" s="208" t="s">
        <v>139</v>
      </c>
      <c r="E87" s="13"/>
      <c r="F87" s="55">
        <v>150</v>
      </c>
      <c r="G87" s="2"/>
      <c r="H87" s="2"/>
      <c r="I87" s="2"/>
    </row>
    <row r="88" spans="1:10" ht="45" x14ac:dyDescent="0.25">
      <c r="A88" s="53"/>
      <c r="B88" s="109"/>
      <c r="C88" s="53">
        <v>1</v>
      </c>
      <c r="D88" s="208" t="s">
        <v>282</v>
      </c>
      <c r="E88" s="13"/>
      <c r="F88" s="55">
        <v>8248</v>
      </c>
      <c r="G88" s="2"/>
      <c r="H88" s="2"/>
      <c r="I88" s="2"/>
    </row>
    <row r="89" spans="1:10" ht="75" x14ac:dyDescent="0.25">
      <c r="A89" s="53"/>
      <c r="B89" s="109" t="s">
        <v>239</v>
      </c>
      <c r="C89" s="53">
        <v>1</v>
      </c>
      <c r="D89" s="208" t="s">
        <v>321</v>
      </c>
      <c r="E89" s="13"/>
      <c r="F89" s="55">
        <v>500</v>
      </c>
      <c r="G89" s="2"/>
      <c r="H89" s="2"/>
      <c r="I89" s="2"/>
    </row>
    <row r="90" spans="1:10" ht="30" x14ac:dyDescent="0.25">
      <c r="A90" s="53"/>
      <c r="B90" s="109" t="s">
        <v>239</v>
      </c>
      <c r="C90" s="53">
        <v>1</v>
      </c>
      <c r="D90" s="208" t="s">
        <v>203</v>
      </c>
      <c r="E90" s="13"/>
      <c r="F90" s="55">
        <v>250</v>
      </c>
      <c r="G90" s="2"/>
      <c r="H90" s="2"/>
      <c r="I90" s="2"/>
    </row>
    <row r="91" spans="1:10" ht="30" x14ac:dyDescent="0.25">
      <c r="A91" s="53"/>
      <c r="B91" s="109" t="s">
        <v>239</v>
      </c>
      <c r="C91" s="53">
        <v>1</v>
      </c>
      <c r="D91" s="208" t="s">
        <v>202</v>
      </c>
      <c r="E91" s="13"/>
      <c r="F91" s="55">
        <v>900</v>
      </c>
      <c r="G91" s="2"/>
      <c r="H91" s="2"/>
      <c r="I91" s="2"/>
    </row>
    <row r="92" spans="1:10" x14ac:dyDescent="0.25">
      <c r="A92" s="53"/>
      <c r="B92" s="109"/>
      <c r="C92" s="53">
        <v>1</v>
      </c>
      <c r="D92" s="208" t="s">
        <v>50</v>
      </c>
      <c r="E92" s="13"/>
      <c r="F92" s="55"/>
      <c r="G92" s="2"/>
      <c r="H92" s="2"/>
      <c r="I92" s="2"/>
    </row>
    <row r="93" spans="1:10" x14ac:dyDescent="0.25">
      <c r="A93" s="53">
        <v>1</v>
      </c>
      <c r="B93" s="109" t="s">
        <v>239</v>
      </c>
      <c r="C93" s="53">
        <v>1</v>
      </c>
      <c r="D93" s="208" t="s">
        <v>31</v>
      </c>
      <c r="E93" s="13"/>
      <c r="F93" s="55">
        <v>2400</v>
      </c>
      <c r="G93" s="2"/>
      <c r="H93" s="2"/>
      <c r="I93" s="2"/>
    </row>
    <row r="94" spans="1:10" x14ac:dyDescent="0.25">
      <c r="A94" s="53">
        <v>1</v>
      </c>
      <c r="B94" s="109" t="s">
        <v>239</v>
      </c>
      <c r="C94" s="53">
        <v>1</v>
      </c>
      <c r="D94" s="208" t="s">
        <v>118</v>
      </c>
      <c r="E94" s="13"/>
      <c r="F94" s="55">
        <v>600</v>
      </c>
      <c r="G94" s="2"/>
      <c r="H94" s="2"/>
      <c r="I94" s="2"/>
    </row>
    <row r="95" spans="1:10" x14ac:dyDescent="0.25">
      <c r="A95" s="53"/>
      <c r="B95" s="109" t="s">
        <v>239</v>
      </c>
      <c r="C95" s="53">
        <v>1</v>
      </c>
      <c r="D95" s="21" t="s">
        <v>198</v>
      </c>
      <c r="E95" s="13"/>
      <c r="F95" s="398">
        <f>F64+F43</f>
        <v>74991</v>
      </c>
      <c r="G95" s="2"/>
      <c r="H95" s="2"/>
      <c r="I95" s="2"/>
    </row>
    <row r="96" spans="1:10" ht="29.25" x14ac:dyDescent="0.25">
      <c r="A96" s="53"/>
      <c r="B96" s="109" t="s">
        <v>239</v>
      </c>
      <c r="C96" s="53">
        <v>1</v>
      </c>
      <c r="D96" s="21" t="s">
        <v>199</v>
      </c>
      <c r="E96" s="13"/>
      <c r="F96" s="398">
        <f>F53</f>
        <v>21946</v>
      </c>
      <c r="G96" s="2"/>
      <c r="H96" s="2"/>
      <c r="I96" s="2"/>
    </row>
    <row r="97" spans="1:12" x14ac:dyDescent="0.25">
      <c r="A97" s="53"/>
      <c r="B97" s="109" t="s">
        <v>239</v>
      </c>
      <c r="C97" s="53">
        <v>1</v>
      </c>
      <c r="D97" s="21" t="s">
        <v>200</v>
      </c>
      <c r="E97" s="13"/>
      <c r="F97" s="398">
        <f>F76+F51</f>
        <v>63996</v>
      </c>
      <c r="G97" s="2"/>
      <c r="H97" s="2"/>
      <c r="I97" s="2"/>
    </row>
    <row r="98" spans="1:12" ht="29.25" x14ac:dyDescent="0.25">
      <c r="A98" s="53"/>
      <c r="B98" s="109" t="s">
        <v>239</v>
      </c>
      <c r="C98" s="53">
        <v>1</v>
      </c>
      <c r="D98" s="21" t="s">
        <v>201</v>
      </c>
      <c r="E98" s="13"/>
      <c r="F98" s="398">
        <f>F80+F82</f>
        <v>29000</v>
      </c>
      <c r="G98" s="2"/>
      <c r="H98" s="2"/>
      <c r="I98" s="2"/>
    </row>
    <row r="99" spans="1:12" x14ac:dyDescent="0.25">
      <c r="A99" s="53">
        <v>1</v>
      </c>
      <c r="B99" s="109" t="s">
        <v>239</v>
      </c>
      <c r="C99" s="53">
        <v>1</v>
      </c>
      <c r="D99" s="22" t="s">
        <v>109</v>
      </c>
      <c r="E99" s="54"/>
      <c r="F99" s="398">
        <f>F95+F96+F97*2.9+F98</f>
        <v>311525.40000000002</v>
      </c>
      <c r="G99" s="47"/>
      <c r="H99" s="2"/>
      <c r="I99" s="2"/>
    </row>
    <row r="100" spans="1:12" x14ac:dyDescent="0.25">
      <c r="A100" s="53"/>
      <c r="B100" s="109" t="s">
        <v>239</v>
      </c>
      <c r="C100" s="53">
        <v>1</v>
      </c>
      <c r="D100" s="67"/>
      <c r="E100" s="13"/>
      <c r="F100" s="55"/>
      <c r="G100" s="2"/>
      <c r="H100" s="2"/>
      <c r="I100" s="2"/>
    </row>
    <row r="101" spans="1:12" x14ac:dyDescent="0.25">
      <c r="A101" s="53">
        <v>1</v>
      </c>
      <c r="B101" s="109" t="s">
        <v>239</v>
      </c>
      <c r="C101" s="53">
        <v>1</v>
      </c>
      <c r="D101" s="44" t="s">
        <v>7</v>
      </c>
      <c r="E101" s="54"/>
      <c r="F101" s="55"/>
      <c r="G101" s="2"/>
      <c r="H101" s="2"/>
      <c r="I101" s="2"/>
    </row>
    <row r="102" spans="1:12" x14ac:dyDescent="0.25">
      <c r="A102" s="53">
        <v>1</v>
      </c>
      <c r="B102" s="109" t="s">
        <v>239</v>
      </c>
      <c r="C102" s="53">
        <v>1</v>
      </c>
      <c r="D102" s="306" t="s">
        <v>91</v>
      </c>
      <c r="E102" s="54"/>
      <c r="F102" s="55"/>
      <c r="G102" s="2"/>
      <c r="H102" s="2"/>
      <c r="I102" s="2"/>
    </row>
    <row r="103" spans="1:12" x14ac:dyDescent="0.25">
      <c r="A103" s="53">
        <v>1</v>
      </c>
      <c r="B103" s="109" t="s">
        <v>239</v>
      </c>
      <c r="C103" s="53">
        <v>1</v>
      </c>
      <c r="D103" s="396" t="s">
        <v>21</v>
      </c>
      <c r="E103" s="54">
        <v>300</v>
      </c>
      <c r="F103" s="435">
        <v>28</v>
      </c>
      <c r="G103" s="47">
        <v>6</v>
      </c>
      <c r="H103" s="2">
        <f t="shared" ref="H103:H110" si="2">ROUND(I103/E103,0)</f>
        <v>1</v>
      </c>
      <c r="I103" s="2">
        <f t="shared" ref="I103:I110" si="3">ROUND(F103*G103,0)</f>
        <v>168</v>
      </c>
    </row>
    <row r="104" spans="1:12" x14ac:dyDescent="0.25">
      <c r="A104" s="53">
        <v>1</v>
      </c>
      <c r="B104" s="109" t="s">
        <v>239</v>
      </c>
      <c r="C104" s="53">
        <v>1</v>
      </c>
      <c r="D104" s="396" t="s">
        <v>25</v>
      </c>
      <c r="E104" s="54">
        <v>300</v>
      </c>
      <c r="F104" s="435">
        <v>91</v>
      </c>
      <c r="G104" s="47">
        <v>29</v>
      </c>
      <c r="H104" s="2">
        <f t="shared" si="2"/>
        <v>9</v>
      </c>
      <c r="I104" s="2">
        <f t="shared" si="3"/>
        <v>2639</v>
      </c>
    </row>
    <row r="105" spans="1:12" x14ac:dyDescent="0.25">
      <c r="A105" s="53">
        <v>1</v>
      </c>
      <c r="B105" s="109" t="s">
        <v>239</v>
      </c>
      <c r="C105" s="53">
        <v>1</v>
      </c>
      <c r="D105" s="396" t="s">
        <v>74</v>
      </c>
      <c r="E105" s="54">
        <v>300</v>
      </c>
      <c r="F105" s="436">
        <v>113</v>
      </c>
      <c r="G105" s="47">
        <v>9.5</v>
      </c>
      <c r="H105" s="2">
        <f t="shared" si="2"/>
        <v>4</v>
      </c>
      <c r="I105" s="2">
        <f t="shared" si="3"/>
        <v>1074</v>
      </c>
    </row>
    <row r="106" spans="1:12" x14ac:dyDescent="0.25">
      <c r="A106" s="53">
        <v>1</v>
      </c>
      <c r="B106" s="109" t="s">
        <v>239</v>
      </c>
      <c r="C106" s="53">
        <v>1</v>
      </c>
      <c r="D106" s="396" t="s">
        <v>12</v>
      </c>
      <c r="E106" s="54">
        <v>300</v>
      </c>
      <c r="F106" s="436">
        <v>72</v>
      </c>
      <c r="G106" s="47">
        <v>8</v>
      </c>
      <c r="H106" s="2">
        <f t="shared" si="2"/>
        <v>2</v>
      </c>
      <c r="I106" s="2">
        <f t="shared" si="3"/>
        <v>576</v>
      </c>
    </row>
    <row r="107" spans="1:12" x14ac:dyDescent="0.25">
      <c r="A107" s="53">
        <v>1</v>
      </c>
      <c r="B107" s="109" t="s">
        <v>239</v>
      </c>
      <c r="C107" s="53">
        <v>1</v>
      </c>
      <c r="D107" s="396" t="s">
        <v>13</v>
      </c>
      <c r="E107" s="54">
        <v>300</v>
      </c>
      <c r="F107" s="436">
        <v>31</v>
      </c>
      <c r="G107" s="47">
        <v>9.8000000000000007</v>
      </c>
      <c r="H107" s="2">
        <f t="shared" si="2"/>
        <v>1</v>
      </c>
      <c r="I107" s="2">
        <f t="shared" si="3"/>
        <v>304</v>
      </c>
    </row>
    <row r="108" spans="1:12" x14ac:dyDescent="0.25">
      <c r="A108" s="53">
        <v>1</v>
      </c>
      <c r="B108" s="109" t="s">
        <v>239</v>
      </c>
      <c r="C108" s="53">
        <v>1</v>
      </c>
      <c r="D108" s="396" t="s">
        <v>19</v>
      </c>
      <c r="E108" s="54">
        <v>300</v>
      </c>
      <c r="F108" s="435">
        <v>37</v>
      </c>
      <c r="G108" s="47">
        <v>8.1999999999999993</v>
      </c>
      <c r="H108" s="2">
        <f t="shared" si="2"/>
        <v>1</v>
      </c>
      <c r="I108" s="2">
        <f t="shared" si="3"/>
        <v>303</v>
      </c>
    </row>
    <row r="109" spans="1:12" x14ac:dyDescent="0.25">
      <c r="A109" s="53">
        <v>1</v>
      </c>
      <c r="B109" s="109" t="s">
        <v>239</v>
      </c>
      <c r="C109" s="53">
        <v>1</v>
      </c>
      <c r="D109" s="396" t="s">
        <v>11</v>
      </c>
      <c r="E109" s="54">
        <v>300</v>
      </c>
      <c r="F109" s="437">
        <v>31</v>
      </c>
      <c r="G109" s="56">
        <v>9</v>
      </c>
      <c r="H109" s="2">
        <f t="shared" si="2"/>
        <v>1</v>
      </c>
      <c r="I109" s="2">
        <f t="shared" si="3"/>
        <v>279</v>
      </c>
    </row>
    <row r="110" spans="1:12" x14ac:dyDescent="0.25">
      <c r="A110" s="53">
        <v>1</v>
      </c>
      <c r="B110" s="109" t="s">
        <v>239</v>
      </c>
      <c r="C110" s="53">
        <v>1</v>
      </c>
      <c r="D110" s="396" t="s">
        <v>10</v>
      </c>
      <c r="E110" s="54">
        <v>300</v>
      </c>
      <c r="F110" s="394">
        <v>49</v>
      </c>
      <c r="G110" s="56">
        <v>10.4</v>
      </c>
      <c r="H110" s="2">
        <f t="shared" si="2"/>
        <v>2</v>
      </c>
      <c r="I110" s="2">
        <f t="shared" si="3"/>
        <v>510</v>
      </c>
    </row>
    <row r="111" spans="1:12" x14ac:dyDescent="0.25">
      <c r="A111" s="53">
        <v>1</v>
      </c>
      <c r="B111" s="109" t="s">
        <v>239</v>
      </c>
      <c r="C111" s="53">
        <v>1</v>
      </c>
      <c r="D111" s="438" t="s">
        <v>9</v>
      </c>
      <c r="E111" s="68"/>
      <c r="F111" s="398">
        <f>SUM(F103:F110)</f>
        <v>452</v>
      </c>
      <c r="G111" s="143">
        <f>I111/F111</f>
        <v>12.949115044247788</v>
      </c>
      <c r="H111" s="29">
        <f>SUM(H103:H110)</f>
        <v>21</v>
      </c>
      <c r="I111" s="29">
        <f>SUM(I103:I110)</f>
        <v>5853</v>
      </c>
      <c r="L111" s="426"/>
    </row>
    <row r="112" spans="1:12" x14ac:dyDescent="0.25">
      <c r="A112" s="53">
        <v>1</v>
      </c>
      <c r="B112" s="109" t="s">
        <v>239</v>
      </c>
      <c r="C112" s="53">
        <v>1</v>
      </c>
      <c r="D112" s="44" t="s">
        <v>18</v>
      </c>
      <c r="E112" s="68"/>
      <c r="F112" s="398"/>
      <c r="G112" s="143"/>
      <c r="H112" s="29"/>
      <c r="I112" s="29"/>
    </row>
    <row r="113" spans="1:9" x14ac:dyDescent="0.25">
      <c r="A113" s="53">
        <v>1</v>
      </c>
      <c r="B113" s="109" t="s">
        <v>239</v>
      </c>
      <c r="C113" s="53">
        <v>1</v>
      </c>
      <c r="D113" s="439" t="s">
        <v>329</v>
      </c>
      <c r="E113" s="54">
        <v>240</v>
      </c>
      <c r="F113" s="435">
        <f>831-46</f>
        <v>785</v>
      </c>
      <c r="G113" s="47">
        <v>1</v>
      </c>
      <c r="H113" s="2">
        <f>ROUND(I113/E113,0)</f>
        <v>3</v>
      </c>
      <c r="I113" s="2">
        <f>ROUND(F113*G113,0)</f>
        <v>785</v>
      </c>
    </row>
    <row r="114" spans="1:9" x14ac:dyDescent="0.25">
      <c r="A114" s="53"/>
      <c r="B114" s="109"/>
      <c r="C114" s="53">
        <v>1</v>
      </c>
      <c r="D114" s="25" t="s">
        <v>35</v>
      </c>
      <c r="E114" s="54">
        <v>240</v>
      </c>
      <c r="F114" s="394">
        <v>1336</v>
      </c>
      <c r="G114" s="47">
        <v>8</v>
      </c>
      <c r="H114" s="2">
        <f>ROUND(I114/E114,0)</f>
        <v>45</v>
      </c>
      <c r="I114" s="2">
        <f>ROUND(F114*G114,0)</f>
        <v>10688</v>
      </c>
    </row>
    <row r="115" spans="1:9" x14ac:dyDescent="0.25">
      <c r="A115" s="53"/>
      <c r="B115" s="109" t="s">
        <v>239</v>
      </c>
      <c r="C115" s="53">
        <v>1</v>
      </c>
      <c r="D115" s="440" t="s">
        <v>92</v>
      </c>
      <c r="E115" s="54"/>
      <c r="F115" s="441">
        <f>SUM(F113:F114)</f>
        <v>2121</v>
      </c>
      <c r="G115" s="209">
        <f>I115/F115</f>
        <v>5.4092409240924093</v>
      </c>
      <c r="H115" s="2">
        <f>SUM(H113:H114)</f>
        <v>48</v>
      </c>
      <c r="I115" s="2">
        <f>SUM(I113:I114)</f>
        <v>11473</v>
      </c>
    </row>
    <row r="116" spans="1:9" x14ac:dyDescent="0.25">
      <c r="A116" s="53">
        <v>1</v>
      </c>
      <c r="B116" s="109" t="s">
        <v>239</v>
      </c>
      <c r="C116" s="53">
        <v>1</v>
      </c>
      <c r="D116" s="311" t="s">
        <v>87</v>
      </c>
      <c r="E116" s="69"/>
      <c r="F116" s="398">
        <f>SUM(F115,F111)</f>
        <v>2573</v>
      </c>
      <c r="G116" s="143">
        <f>I116/F116</f>
        <v>6.7337738048970071</v>
      </c>
      <c r="H116" s="29">
        <f>SUM(H115,H111)</f>
        <v>69</v>
      </c>
      <c r="I116" s="29">
        <f>SUM(I115,I111)</f>
        <v>17326</v>
      </c>
    </row>
    <row r="117" spans="1:9" x14ac:dyDescent="0.25">
      <c r="A117" s="53"/>
      <c r="B117" s="109" t="s">
        <v>239</v>
      </c>
      <c r="C117" s="53">
        <v>1</v>
      </c>
      <c r="D117" s="70"/>
      <c r="E117" s="442"/>
      <c r="F117" s="398"/>
      <c r="G117" s="143"/>
      <c r="H117" s="29"/>
      <c r="I117" s="29"/>
    </row>
    <row r="118" spans="1:9" ht="30" x14ac:dyDescent="0.25">
      <c r="A118" s="53"/>
      <c r="B118" s="109" t="s">
        <v>239</v>
      </c>
      <c r="C118" s="53">
        <v>1</v>
      </c>
      <c r="D118" s="443" t="s">
        <v>332</v>
      </c>
      <c r="E118" s="442"/>
      <c r="F118" s="55"/>
      <c r="G118" s="143"/>
      <c r="H118" s="29"/>
      <c r="I118" s="29"/>
    </row>
    <row r="119" spans="1:9" ht="30" x14ac:dyDescent="0.25">
      <c r="A119" s="53"/>
      <c r="B119" s="109" t="s">
        <v>239</v>
      </c>
      <c r="C119" s="53">
        <v>1</v>
      </c>
      <c r="D119" s="178" t="s">
        <v>333</v>
      </c>
      <c r="E119" s="442"/>
      <c r="F119" s="55"/>
      <c r="G119" s="143"/>
      <c r="H119" s="29"/>
      <c r="I119" s="29"/>
    </row>
    <row r="120" spans="1:9" ht="30" x14ac:dyDescent="0.25">
      <c r="A120" s="53"/>
      <c r="B120" s="109" t="s">
        <v>239</v>
      </c>
      <c r="C120" s="53">
        <v>1</v>
      </c>
      <c r="D120" s="443" t="s">
        <v>334</v>
      </c>
      <c r="E120" s="442"/>
      <c r="F120" s="55"/>
      <c r="G120" s="143"/>
      <c r="H120" s="29"/>
      <c r="I120" s="29"/>
    </row>
    <row r="121" spans="1:9" ht="45" x14ac:dyDescent="0.25">
      <c r="A121" s="53"/>
      <c r="B121" s="109" t="s">
        <v>239</v>
      </c>
      <c r="C121" s="53">
        <v>1</v>
      </c>
      <c r="D121" s="444" t="s">
        <v>335</v>
      </c>
      <c r="E121" s="442"/>
      <c r="F121" s="55"/>
      <c r="G121" s="143"/>
      <c r="H121" s="29"/>
      <c r="I121" s="29"/>
    </row>
    <row r="122" spans="1:9" ht="61.5" customHeight="1" x14ac:dyDescent="0.25">
      <c r="A122" s="53"/>
      <c r="B122" s="109"/>
      <c r="C122" s="53">
        <v>1</v>
      </c>
      <c r="D122" s="444" t="s">
        <v>336</v>
      </c>
      <c r="E122" s="442"/>
      <c r="F122" s="55"/>
      <c r="G122" s="143"/>
      <c r="H122" s="29"/>
      <c r="I122" s="29"/>
    </row>
    <row r="123" spans="1:9" ht="43.5" customHeight="1" x14ac:dyDescent="0.25">
      <c r="A123" s="53"/>
      <c r="B123" s="109" t="s">
        <v>239</v>
      </c>
      <c r="C123" s="53">
        <v>1</v>
      </c>
      <c r="D123" s="444" t="s">
        <v>337</v>
      </c>
      <c r="E123" s="71"/>
      <c r="F123" s="55"/>
      <c r="G123" s="143"/>
      <c r="H123" s="29"/>
      <c r="I123" s="29"/>
    </row>
    <row r="124" spans="1:9" ht="57" customHeight="1" x14ac:dyDescent="0.25">
      <c r="A124" s="53"/>
      <c r="B124" s="109"/>
      <c r="C124" s="53">
        <v>1</v>
      </c>
      <c r="D124" s="444" t="s">
        <v>328</v>
      </c>
      <c r="E124" s="442"/>
      <c r="F124" s="55"/>
      <c r="G124" s="143"/>
      <c r="H124" s="29"/>
      <c r="I124" s="29"/>
    </row>
    <row r="125" spans="1:9" ht="29.25" x14ac:dyDescent="0.25">
      <c r="A125" s="53"/>
      <c r="B125" s="109" t="s">
        <v>239</v>
      </c>
      <c r="C125" s="53">
        <v>1</v>
      </c>
      <c r="D125" s="102" t="s">
        <v>320</v>
      </c>
      <c r="E125" s="71"/>
      <c r="F125" s="398">
        <f>SUM(F118:F124)</f>
        <v>0</v>
      </c>
      <c r="G125" s="143"/>
      <c r="H125" s="29"/>
      <c r="I125" s="29"/>
    </row>
    <row r="126" spans="1:9" ht="31.5" x14ac:dyDescent="0.25">
      <c r="A126" s="53">
        <v>1</v>
      </c>
      <c r="B126" s="109" t="s">
        <v>239</v>
      </c>
      <c r="C126" s="53">
        <v>1</v>
      </c>
      <c r="D126" s="72" t="s">
        <v>101</v>
      </c>
      <c r="E126" s="71"/>
      <c r="F126" s="445">
        <v>10</v>
      </c>
      <c r="G126" s="147"/>
      <c r="H126" s="43"/>
      <c r="I126" s="43"/>
    </row>
    <row r="127" spans="1:9" x14ac:dyDescent="0.25">
      <c r="A127" s="53"/>
      <c r="B127" s="109" t="s">
        <v>239</v>
      </c>
      <c r="C127" s="53">
        <v>1</v>
      </c>
      <c r="D127" s="148" t="s">
        <v>159</v>
      </c>
      <c r="E127" s="69"/>
      <c r="F127" s="446">
        <f>SUM(F126)</f>
        <v>10</v>
      </c>
      <c r="G127" s="447"/>
      <c r="H127" s="446"/>
      <c r="I127" s="446"/>
    </row>
    <row r="128" spans="1:9" ht="15.75" thickBot="1" x14ac:dyDescent="0.3">
      <c r="A128" s="53">
        <v>1</v>
      </c>
      <c r="B128" s="109" t="s">
        <v>239</v>
      </c>
      <c r="C128" s="53">
        <v>1</v>
      </c>
      <c r="D128" s="448" t="s">
        <v>220</v>
      </c>
      <c r="E128" s="449"/>
      <c r="F128" s="419"/>
      <c r="G128" s="450"/>
      <c r="H128" s="450"/>
      <c r="I128" s="450"/>
    </row>
    <row r="129" spans="1:10" x14ac:dyDescent="0.25">
      <c r="A129" s="53">
        <v>1</v>
      </c>
      <c r="B129" s="53"/>
      <c r="C129" s="53">
        <v>1</v>
      </c>
      <c r="D129" s="451"/>
      <c r="E129" s="452"/>
      <c r="F129" s="55"/>
      <c r="G129" s="2"/>
      <c r="H129" s="2"/>
      <c r="I129" s="2"/>
    </row>
    <row r="130" spans="1:10" s="53" customFormat="1" ht="48" hidden="1" customHeight="1" x14ac:dyDescent="0.25">
      <c r="A130" s="53">
        <v>1</v>
      </c>
      <c r="B130" s="109" t="s">
        <v>240</v>
      </c>
      <c r="C130" s="53">
        <v>1</v>
      </c>
      <c r="D130" s="674" t="s">
        <v>382</v>
      </c>
      <c r="E130" s="68"/>
      <c r="F130" s="453"/>
      <c r="G130" s="2"/>
      <c r="H130" s="2"/>
      <c r="I130" s="2"/>
      <c r="J130" s="152"/>
    </row>
    <row r="131" spans="1:10" s="53" customFormat="1" hidden="1" x14ac:dyDescent="0.25">
      <c r="A131" s="53">
        <v>1</v>
      </c>
      <c r="B131" s="109" t="s">
        <v>240</v>
      </c>
      <c r="C131" s="53">
        <v>1</v>
      </c>
      <c r="D131" s="395" t="s">
        <v>4</v>
      </c>
      <c r="E131" s="68"/>
      <c r="F131" s="55"/>
      <c r="G131" s="2"/>
      <c r="H131" s="2"/>
      <c r="I131" s="2"/>
      <c r="J131" s="152"/>
    </row>
    <row r="132" spans="1:10" s="53" customFormat="1" hidden="1" x14ac:dyDescent="0.25">
      <c r="A132" s="53">
        <v>1</v>
      </c>
      <c r="B132" s="109" t="s">
        <v>240</v>
      </c>
      <c r="C132" s="53">
        <v>1</v>
      </c>
      <c r="D132" s="396" t="s">
        <v>21</v>
      </c>
      <c r="E132" s="54">
        <v>340</v>
      </c>
      <c r="F132" s="55">
        <v>2228</v>
      </c>
      <c r="G132" s="47">
        <v>6.5</v>
      </c>
      <c r="H132" s="2">
        <f t="shared" ref="H132:H137" si="4">ROUND(I132/E132,0)</f>
        <v>43</v>
      </c>
      <c r="I132" s="2">
        <f t="shared" ref="I132:I137" si="5">ROUND(F132*G132,0)</f>
        <v>14482</v>
      </c>
      <c r="J132" s="152"/>
    </row>
    <row r="133" spans="1:10" s="53" customFormat="1" hidden="1" x14ac:dyDescent="0.25">
      <c r="B133" s="109"/>
      <c r="C133" s="53">
        <v>1</v>
      </c>
      <c r="D133" s="396" t="s">
        <v>25</v>
      </c>
      <c r="E133" s="54">
        <v>270</v>
      </c>
      <c r="F133" s="55">
        <v>753</v>
      </c>
      <c r="G133" s="47">
        <v>7.5</v>
      </c>
      <c r="H133" s="2">
        <f t="shared" si="4"/>
        <v>21</v>
      </c>
      <c r="I133" s="2">
        <f t="shared" si="5"/>
        <v>5648</v>
      </c>
      <c r="J133" s="152"/>
    </row>
    <row r="134" spans="1:10" s="53" customFormat="1" hidden="1" x14ac:dyDescent="0.25">
      <c r="A134" s="53">
        <v>1</v>
      </c>
      <c r="B134" s="109" t="s">
        <v>240</v>
      </c>
      <c r="C134" s="53">
        <v>1</v>
      </c>
      <c r="D134" s="307" t="s">
        <v>20</v>
      </c>
      <c r="E134" s="454">
        <v>340</v>
      </c>
      <c r="F134" s="55">
        <v>1101</v>
      </c>
      <c r="G134" s="47">
        <v>8.9</v>
      </c>
      <c r="H134" s="2">
        <f t="shared" si="4"/>
        <v>29</v>
      </c>
      <c r="I134" s="2">
        <f t="shared" si="5"/>
        <v>9799</v>
      </c>
      <c r="J134" s="152"/>
    </row>
    <row r="135" spans="1:10" s="53" customFormat="1" hidden="1" x14ac:dyDescent="0.25">
      <c r="A135" s="53">
        <v>1</v>
      </c>
      <c r="B135" s="109" t="s">
        <v>240</v>
      </c>
      <c r="C135" s="53">
        <v>1</v>
      </c>
      <c r="D135" s="396" t="s">
        <v>19</v>
      </c>
      <c r="E135" s="454">
        <v>340</v>
      </c>
      <c r="F135" s="55">
        <f>1935+35</f>
        <v>1970</v>
      </c>
      <c r="G135" s="47">
        <v>9.6999999999999993</v>
      </c>
      <c r="H135" s="2">
        <f t="shared" si="4"/>
        <v>56</v>
      </c>
      <c r="I135" s="2">
        <f t="shared" si="5"/>
        <v>19109</v>
      </c>
      <c r="J135" s="152"/>
    </row>
    <row r="136" spans="1:10" s="53" customFormat="1" hidden="1" x14ac:dyDescent="0.25">
      <c r="A136" s="53">
        <v>1</v>
      </c>
      <c r="B136" s="109" t="s">
        <v>240</v>
      </c>
      <c r="C136" s="53">
        <v>1</v>
      </c>
      <c r="D136" s="307" t="s">
        <v>10</v>
      </c>
      <c r="E136" s="454">
        <v>340</v>
      </c>
      <c r="F136" s="55">
        <f>1903+35</f>
        <v>1938</v>
      </c>
      <c r="G136" s="47">
        <v>7.1</v>
      </c>
      <c r="H136" s="2">
        <f t="shared" si="4"/>
        <v>40</v>
      </c>
      <c r="I136" s="2">
        <f t="shared" si="5"/>
        <v>13760</v>
      </c>
      <c r="J136" s="152"/>
    </row>
    <row r="137" spans="1:10" s="53" customFormat="1" hidden="1" x14ac:dyDescent="0.25">
      <c r="A137" s="53">
        <v>1</v>
      </c>
      <c r="B137" s="109" t="s">
        <v>240</v>
      </c>
      <c r="C137" s="53">
        <v>1</v>
      </c>
      <c r="D137" s="307" t="s">
        <v>44</v>
      </c>
      <c r="E137" s="454">
        <v>340</v>
      </c>
      <c r="F137" s="55">
        <v>1401</v>
      </c>
      <c r="G137" s="47">
        <v>8.6</v>
      </c>
      <c r="H137" s="2">
        <f t="shared" si="4"/>
        <v>35</v>
      </c>
      <c r="I137" s="2">
        <f t="shared" si="5"/>
        <v>12049</v>
      </c>
      <c r="J137" s="152"/>
    </row>
    <row r="138" spans="1:10" hidden="1" x14ac:dyDescent="0.25">
      <c r="A138" s="53">
        <v>1</v>
      </c>
      <c r="B138" s="109" t="s">
        <v>240</v>
      </c>
      <c r="C138" s="53">
        <v>1</v>
      </c>
      <c r="D138" s="397" t="s">
        <v>5</v>
      </c>
      <c r="E138" s="54"/>
      <c r="F138" s="398">
        <f>SUM(F132:F137)</f>
        <v>9391</v>
      </c>
      <c r="G138" s="143">
        <f>I138/F138</f>
        <v>7.9700777340006388</v>
      </c>
      <c r="H138" s="29">
        <f>SUM(H132:H137)</f>
        <v>224</v>
      </c>
      <c r="I138" s="29">
        <f>SUM(I132:I137)</f>
        <v>74847</v>
      </c>
    </row>
    <row r="139" spans="1:10" hidden="1" x14ac:dyDescent="0.25">
      <c r="A139" s="53"/>
      <c r="B139" s="109" t="s">
        <v>240</v>
      </c>
      <c r="C139" s="53">
        <v>1</v>
      </c>
      <c r="D139" s="120" t="s">
        <v>213</v>
      </c>
      <c r="E139" s="54"/>
      <c r="F139" s="398">
        <v>10</v>
      </c>
      <c r="G139" s="143"/>
      <c r="H139" s="29"/>
      <c r="I139" s="29"/>
    </row>
    <row r="140" spans="1:10" s="124" customFormat="1" hidden="1" x14ac:dyDescent="0.25">
      <c r="A140" s="53">
        <v>1</v>
      </c>
      <c r="B140" s="109" t="s">
        <v>240</v>
      </c>
      <c r="C140" s="53">
        <v>1</v>
      </c>
      <c r="D140" s="455" t="s">
        <v>6</v>
      </c>
      <c r="E140" s="115"/>
      <c r="F140" s="433"/>
      <c r="G140" s="116"/>
      <c r="H140" s="2"/>
      <c r="I140" s="10"/>
      <c r="J140" s="456"/>
    </row>
    <row r="141" spans="1:10" hidden="1" x14ac:dyDescent="0.25">
      <c r="A141" s="53">
        <v>1</v>
      </c>
      <c r="B141" s="109" t="s">
        <v>240</v>
      </c>
      <c r="C141" s="53">
        <v>1</v>
      </c>
      <c r="D141" s="73" t="s">
        <v>96</v>
      </c>
      <c r="E141" s="400"/>
      <c r="F141" s="401"/>
      <c r="G141" s="2"/>
      <c r="H141" s="2"/>
      <c r="I141" s="2"/>
    </row>
    <row r="142" spans="1:10" hidden="1" x14ac:dyDescent="0.25">
      <c r="A142" s="53">
        <v>1</v>
      </c>
      <c r="B142" s="109" t="s">
        <v>240</v>
      </c>
      <c r="C142" s="53">
        <v>1</v>
      </c>
      <c r="D142" s="20" t="s">
        <v>158</v>
      </c>
      <c r="E142" s="400"/>
      <c r="F142" s="457">
        <f>SUM(F143:F149)</f>
        <v>6028</v>
      </c>
      <c r="G142" s="2"/>
      <c r="H142" s="2"/>
      <c r="I142" s="2"/>
    </row>
    <row r="143" spans="1:10" hidden="1" x14ac:dyDescent="0.25">
      <c r="A143" s="53"/>
      <c r="B143" s="109"/>
      <c r="C143" s="53">
        <v>1</v>
      </c>
      <c r="D143" s="434" t="s">
        <v>348</v>
      </c>
      <c r="E143" s="115"/>
      <c r="F143" s="405">
        <v>524</v>
      </c>
      <c r="G143" s="2"/>
      <c r="H143" s="2"/>
      <c r="I143" s="2"/>
    </row>
    <row r="144" spans="1:10" hidden="1" x14ac:dyDescent="0.25">
      <c r="A144" s="53">
        <v>1</v>
      </c>
      <c r="B144" s="109" t="s">
        <v>240</v>
      </c>
      <c r="C144" s="53">
        <v>1</v>
      </c>
      <c r="D144" s="208" t="s">
        <v>166</v>
      </c>
      <c r="E144" s="400"/>
      <c r="F144" s="405">
        <v>200</v>
      </c>
      <c r="G144" s="2"/>
      <c r="H144" s="2"/>
      <c r="I144" s="2"/>
    </row>
    <row r="145" spans="1:10" ht="60" hidden="1" customHeight="1" x14ac:dyDescent="0.25">
      <c r="A145" s="53"/>
      <c r="B145" s="109"/>
      <c r="C145" s="53"/>
      <c r="D145" s="126" t="s">
        <v>321</v>
      </c>
      <c r="E145" s="400"/>
      <c r="F145" s="405">
        <v>29</v>
      </c>
      <c r="G145" s="2"/>
      <c r="H145" s="2"/>
      <c r="I145" s="2"/>
    </row>
    <row r="146" spans="1:10" hidden="1" x14ac:dyDescent="0.25">
      <c r="A146" s="53">
        <v>1</v>
      </c>
      <c r="B146" s="109" t="s">
        <v>240</v>
      </c>
      <c r="C146" s="53">
        <v>1</v>
      </c>
      <c r="D146" s="434" t="s">
        <v>17</v>
      </c>
      <c r="E146" s="400"/>
      <c r="F146" s="405">
        <v>4755</v>
      </c>
      <c r="G146" s="2"/>
      <c r="H146" s="2"/>
      <c r="I146" s="2"/>
    </row>
    <row r="147" spans="1:10" ht="30" hidden="1" x14ac:dyDescent="0.25">
      <c r="A147" s="53"/>
      <c r="B147" s="109" t="s">
        <v>240</v>
      </c>
      <c r="C147" s="53">
        <v>1</v>
      </c>
      <c r="D147" s="208" t="s">
        <v>139</v>
      </c>
      <c r="E147" s="400"/>
      <c r="F147" s="405">
        <v>300</v>
      </c>
      <c r="G147" s="2"/>
      <c r="H147" s="2"/>
      <c r="I147" s="2"/>
    </row>
    <row r="148" spans="1:10" ht="30" hidden="1" x14ac:dyDescent="0.25">
      <c r="A148" s="53"/>
      <c r="B148" s="109" t="s">
        <v>240</v>
      </c>
      <c r="C148" s="53">
        <v>1</v>
      </c>
      <c r="D148" s="208" t="s">
        <v>126</v>
      </c>
      <c r="E148" s="400"/>
      <c r="F148" s="405">
        <v>20</v>
      </c>
      <c r="G148" s="2"/>
      <c r="H148" s="2"/>
      <c r="I148" s="2"/>
    </row>
    <row r="149" spans="1:10" hidden="1" x14ac:dyDescent="0.25">
      <c r="A149" s="53"/>
      <c r="B149" s="109" t="s">
        <v>240</v>
      </c>
      <c r="C149" s="53">
        <v>1</v>
      </c>
      <c r="D149" s="208" t="s">
        <v>118</v>
      </c>
      <c r="E149" s="400"/>
      <c r="F149" s="405">
        <v>200</v>
      </c>
      <c r="G149" s="2"/>
      <c r="H149" s="2"/>
      <c r="I149" s="2"/>
    </row>
    <row r="150" spans="1:10" hidden="1" x14ac:dyDescent="0.25">
      <c r="A150" s="53">
        <v>1</v>
      </c>
      <c r="B150" s="109" t="s">
        <v>240</v>
      </c>
      <c r="C150" s="53">
        <v>1</v>
      </c>
      <c r="D150" s="22" t="s">
        <v>109</v>
      </c>
      <c r="E150" s="54"/>
      <c r="F150" s="55"/>
      <c r="G150" s="47"/>
      <c r="H150" s="2"/>
      <c r="I150" s="2"/>
    </row>
    <row r="151" spans="1:10" hidden="1" x14ac:dyDescent="0.25">
      <c r="A151" s="53">
        <v>1</v>
      </c>
      <c r="B151" s="109" t="s">
        <v>240</v>
      </c>
      <c r="C151" s="53">
        <v>1</v>
      </c>
      <c r="D151" s="306" t="s">
        <v>91</v>
      </c>
      <c r="E151" s="54"/>
      <c r="F151" s="55"/>
      <c r="G151" s="47"/>
      <c r="H151" s="2"/>
      <c r="I151" s="2"/>
    </row>
    <row r="152" spans="1:10" hidden="1" x14ac:dyDescent="0.25">
      <c r="A152" s="53">
        <v>1</v>
      </c>
      <c r="B152" s="109" t="s">
        <v>240</v>
      </c>
      <c r="C152" s="53">
        <v>1</v>
      </c>
      <c r="D152" s="396" t="s">
        <v>21</v>
      </c>
      <c r="E152" s="54">
        <v>300</v>
      </c>
      <c r="F152" s="436">
        <v>144</v>
      </c>
      <c r="G152" s="47">
        <v>4</v>
      </c>
      <c r="H152" s="2">
        <f>ROUND(I152/E152,0)</f>
        <v>2</v>
      </c>
      <c r="I152" s="2">
        <f>ROUND(F152*G152,0)</f>
        <v>576</v>
      </c>
    </row>
    <row r="153" spans="1:10" hidden="1" x14ac:dyDescent="0.25">
      <c r="A153" s="53">
        <v>1</v>
      </c>
      <c r="B153" s="109" t="s">
        <v>240</v>
      </c>
      <c r="C153" s="53">
        <v>1</v>
      </c>
      <c r="D153" s="396" t="s">
        <v>19</v>
      </c>
      <c r="E153" s="54">
        <v>300</v>
      </c>
      <c r="F153" s="436">
        <v>662</v>
      </c>
      <c r="G153" s="47">
        <v>8</v>
      </c>
      <c r="H153" s="2">
        <f>ROUND(I153/E153,0)</f>
        <v>18</v>
      </c>
      <c r="I153" s="2">
        <f>ROUND(F153*G153,0)</f>
        <v>5296</v>
      </c>
    </row>
    <row r="154" spans="1:10" hidden="1" x14ac:dyDescent="0.25">
      <c r="A154" s="53">
        <v>1</v>
      </c>
      <c r="B154" s="109" t="s">
        <v>240</v>
      </c>
      <c r="C154" s="53">
        <v>1</v>
      </c>
      <c r="D154" s="458" t="s">
        <v>9</v>
      </c>
      <c r="E154" s="33"/>
      <c r="F154" s="459">
        <f>SUM(F152:F153)</f>
        <v>806</v>
      </c>
      <c r="G154" s="143">
        <f>I154/F154</f>
        <v>7.2853598014888341</v>
      </c>
      <c r="H154" s="31">
        <f>H152+H153</f>
        <v>20</v>
      </c>
      <c r="I154" s="31">
        <f>I152+I153</f>
        <v>5872</v>
      </c>
    </row>
    <row r="155" spans="1:10" hidden="1" x14ac:dyDescent="0.25">
      <c r="A155" s="53">
        <v>1</v>
      </c>
      <c r="B155" s="109" t="s">
        <v>240</v>
      </c>
      <c r="C155" s="53">
        <v>1</v>
      </c>
      <c r="D155" s="311" t="s">
        <v>87</v>
      </c>
      <c r="E155" s="460"/>
      <c r="F155" s="398">
        <f>F154</f>
        <v>806</v>
      </c>
      <c r="G155" s="143">
        <f>I155/F155</f>
        <v>7.2853598014888341</v>
      </c>
      <c r="H155" s="29">
        <f>H154</f>
        <v>20</v>
      </c>
      <c r="I155" s="29">
        <f>I154</f>
        <v>5872</v>
      </c>
    </row>
    <row r="156" spans="1:10" s="53" customFormat="1" ht="15.75" hidden="1" thickBot="1" x14ac:dyDescent="0.3">
      <c r="A156" s="53">
        <v>1</v>
      </c>
      <c r="B156" s="109" t="s">
        <v>240</v>
      </c>
      <c r="C156" s="53">
        <v>1</v>
      </c>
      <c r="D156" s="461" t="s">
        <v>220</v>
      </c>
      <c r="E156" s="462"/>
      <c r="F156" s="463"/>
      <c r="G156" s="462"/>
      <c r="H156" s="462"/>
      <c r="I156" s="462"/>
      <c r="J156" s="152"/>
    </row>
    <row r="157" spans="1:10" ht="47.25" hidden="1" customHeight="1" x14ac:dyDescent="0.25">
      <c r="A157" s="53">
        <v>1</v>
      </c>
      <c r="B157" s="109" t="s">
        <v>241</v>
      </c>
      <c r="C157" s="53">
        <v>1</v>
      </c>
      <c r="D157" s="674" t="s">
        <v>383</v>
      </c>
      <c r="E157" s="391"/>
      <c r="F157" s="423"/>
      <c r="G157" s="424"/>
      <c r="H157" s="424"/>
      <c r="I157" s="424"/>
    </row>
    <row r="158" spans="1:10" hidden="1" x14ac:dyDescent="0.25">
      <c r="A158" s="53">
        <v>1</v>
      </c>
      <c r="B158" s="109" t="s">
        <v>241</v>
      </c>
      <c r="C158" s="53">
        <v>1</v>
      </c>
      <c r="D158" s="395" t="s">
        <v>4</v>
      </c>
      <c r="E158" s="54"/>
      <c r="F158" s="55"/>
      <c r="G158" s="2"/>
      <c r="H158" s="2"/>
      <c r="I158" s="2"/>
    </row>
    <row r="159" spans="1:10" hidden="1" x14ac:dyDescent="0.25">
      <c r="A159" s="53">
        <v>1</v>
      </c>
      <c r="B159" s="109" t="s">
        <v>241</v>
      </c>
      <c r="C159" s="53">
        <v>1</v>
      </c>
      <c r="D159" s="396" t="s">
        <v>23</v>
      </c>
      <c r="E159" s="54">
        <v>320</v>
      </c>
      <c r="F159" s="55">
        <v>247</v>
      </c>
      <c r="G159" s="47">
        <v>10.5</v>
      </c>
      <c r="H159" s="2">
        <f>ROUND(I159/E159,0)</f>
        <v>8</v>
      </c>
      <c r="I159" s="2">
        <f>ROUND(F159*G159,0)</f>
        <v>2594</v>
      </c>
    </row>
    <row r="160" spans="1:10" hidden="1" x14ac:dyDescent="0.25">
      <c r="A160" s="53">
        <v>1</v>
      </c>
      <c r="B160" s="109" t="s">
        <v>241</v>
      </c>
      <c r="C160" s="53">
        <v>1</v>
      </c>
      <c r="D160" s="396" t="s">
        <v>24</v>
      </c>
      <c r="E160" s="54">
        <v>320</v>
      </c>
      <c r="F160" s="55">
        <v>674</v>
      </c>
      <c r="G160" s="47">
        <v>11.5</v>
      </c>
      <c r="H160" s="2">
        <f>ROUND(I160/E160,0)</f>
        <v>24</v>
      </c>
      <c r="I160" s="2">
        <f>ROUND(F160*G160,0)</f>
        <v>7751</v>
      </c>
    </row>
    <row r="161" spans="1:10" hidden="1" x14ac:dyDescent="0.25">
      <c r="A161" s="53">
        <v>1</v>
      </c>
      <c r="B161" s="109" t="s">
        <v>241</v>
      </c>
      <c r="C161" s="53">
        <v>1</v>
      </c>
      <c r="D161" s="396" t="s">
        <v>13</v>
      </c>
      <c r="E161" s="54">
        <v>320</v>
      </c>
      <c r="F161" s="55">
        <v>892</v>
      </c>
      <c r="G161" s="47">
        <v>12</v>
      </c>
      <c r="H161" s="2">
        <f>ROUND(I161/E161,0)</f>
        <v>33</v>
      </c>
      <c r="I161" s="2">
        <f>ROUND(F161*G161,0)</f>
        <v>10704</v>
      </c>
    </row>
    <row r="162" spans="1:10" hidden="1" x14ac:dyDescent="0.25">
      <c r="A162" s="53">
        <v>1</v>
      </c>
      <c r="B162" s="109" t="s">
        <v>241</v>
      </c>
      <c r="C162" s="53">
        <v>1</v>
      </c>
      <c r="D162" s="397" t="s">
        <v>5</v>
      </c>
      <c r="E162" s="68"/>
      <c r="F162" s="398">
        <f>SUM(F159:F161)</f>
        <v>1813</v>
      </c>
      <c r="G162" s="143">
        <f>I162/F162</f>
        <v>11.610038610038609</v>
      </c>
      <c r="H162" s="29">
        <f>H159+H160+H161</f>
        <v>65</v>
      </c>
      <c r="I162" s="29">
        <f>I159+I160+I161</f>
        <v>21049</v>
      </c>
    </row>
    <row r="163" spans="1:10" s="58" customFormat="1" ht="48" hidden="1" customHeight="1" x14ac:dyDescent="0.25">
      <c r="A163" s="53">
        <v>1</v>
      </c>
      <c r="B163" s="109" t="s">
        <v>241</v>
      </c>
      <c r="C163" s="53">
        <v>1</v>
      </c>
      <c r="D163" s="101" t="s">
        <v>294</v>
      </c>
      <c r="E163" s="12"/>
      <c r="F163" s="429"/>
      <c r="G163" s="57"/>
      <c r="H163" s="57"/>
      <c r="I163" s="57"/>
      <c r="J163" s="430"/>
    </row>
    <row r="164" spans="1:10" s="58" customFormat="1" hidden="1" x14ac:dyDescent="0.25">
      <c r="A164" s="53"/>
      <c r="B164" s="109" t="s">
        <v>241</v>
      </c>
      <c r="C164" s="53">
        <v>1</v>
      </c>
      <c r="D164" s="14" t="s">
        <v>187</v>
      </c>
      <c r="E164" s="12"/>
      <c r="F164" s="429">
        <f>F166+F167+F169+F168</f>
        <v>18275</v>
      </c>
      <c r="G164" s="57"/>
      <c r="H164" s="57"/>
      <c r="I164" s="57"/>
      <c r="J164" s="430"/>
    </row>
    <row r="165" spans="1:10" s="58" customFormat="1" hidden="1" x14ac:dyDescent="0.25">
      <c r="A165" s="53"/>
      <c r="B165" s="109" t="s">
        <v>241</v>
      </c>
      <c r="C165" s="53">
        <v>1</v>
      </c>
      <c r="D165" s="18" t="s">
        <v>113</v>
      </c>
      <c r="E165" s="12"/>
      <c r="F165" s="429"/>
      <c r="G165" s="57"/>
      <c r="H165" s="57"/>
      <c r="I165" s="57"/>
      <c r="J165" s="430"/>
    </row>
    <row r="166" spans="1:10" s="58" customFormat="1" ht="30" hidden="1" x14ac:dyDescent="0.25">
      <c r="A166" s="53"/>
      <c r="B166" s="109" t="s">
        <v>241</v>
      </c>
      <c r="C166" s="53">
        <v>1</v>
      </c>
      <c r="D166" s="18" t="s">
        <v>114</v>
      </c>
      <c r="E166" s="12"/>
      <c r="F166" s="59">
        <v>1200</v>
      </c>
      <c r="G166" s="57"/>
      <c r="H166" s="57"/>
      <c r="I166" s="57"/>
      <c r="J166" s="430"/>
    </row>
    <row r="167" spans="1:10" s="58" customFormat="1" ht="30" hidden="1" x14ac:dyDescent="0.25">
      <c r="A167" s="53"/>
      <c r="B167" s="109" t="s">
        <v>241</v>
      </c>
      <c r="C167" s="53">
        <v>1</v>
      </c>
      <c r="D167" s="15" t="s">
        <v>361</v>
      </c>
      <c r="E167" s="12"/>
      <c r="F167" s="59">
        <v>11675</v>
      </c>
      <c r="G167" s="57"/>
      <c r="H167" s="57"/>
      <c r="I167" s="57"/>
      <c r="J167" s="430"/>
    </row>
    <row r="168" spans="1:10" s="58" customFormat="1" ht="45" hidden="1" x14ac:dyDescent="0.25">
      <c r="A168" s="53"/>
      <c r="B168" s="109" t="s">
        <v>241</v>
      </c>
      <c r="C168" s="53">
        <v>1</v>
      </c>
      <c r="D168" s="15" t="s">
        <v>219</v>
      </c>
      <c r="E168" s="12"/>
      <c r="F168" s="429"/>
      <c r="G168" s="57"/>
      <c r="H168" s="57"/>
      <c r="I168" s="57"/>
      <c r="J168" s="430"/>
    </row>
    <row r="169" spans="1:10" s="58" customFormat="1" ht="45" hidden="1" x14ac:dyDescent="0.25">
      <c r="A169" s="53"/>
      <c r="B169" s="109" t="s">
        <v>241</v>
      </c>
      <c r="C169" s="53">
        <v>1</v>
      </c>
      <c r="D169" s="15" t="s">
        <v>188</v>
      </c>
      <c r="E169" s="12"/>
      <c r="F169" s="59">
        <v>5400</v>
      </c>
      <c r="G169" s="57"/>
      <c r="H169" s="57"/>
      <c r="I169" s="57"/>
      <c r="J169" s="430"/>
    </row>
    <row r="170" spans="1:10" s="58" customFormat="1" ht="75" hidden="1" x14ac:dyDescent="0.25">
      <c r="A170" s="53"/>
      <c r="B170" s="109"/>
      <c r="C170" s="53">
        <v>1</v>
      </c>
      <c r="D170" s="15" t="s">
        <v>353</v>
      </c>
      <c r="E170" s="12"/>
      <c r="F170" s="59">
        <v>750</v>
      </c>
      <c r="G170" s="57"/>
      <c r="H170" s="57"/>
      <c r="I170" s="57"/>
      <c r="J170" s="430"/>
    </row>
    <row r="171" spans="1:10" s="58" customFormat="1" hidden="1" x14ac:dyDescent="0.25">
      <c r="A171" s="53"/>
      <c r="B171" s="109" t="s">
        <v>241</v>
      </c>
      <c r="C171" s="53">
        <v>1</v>
      </c>
      <c r="D171" s="60" t="s">
        <v>88</v>
      </c>
      <c r="E171" s="12"/>
      <c r="F171" s="429">
        <f>F172</f>
        <v>17413</v>
      </c>
      <c r="G171" s="57"/>
      <c r="H171" s="57"/>
      <c r="I171" s="57"/>
      <c r="J171" s="430"/>
    </row>
    <row r="172" spans="1:10" s="58" customFormat="1" hidden="1" x14ac:dyDescent="0.25">
      <c r="A172" s="53"/>
      <c r="B172" s="109" t="s">
        <v>241</v>
      </c>
      <c r="C172" s="53">
        <v>1</v>
      </c>
      <c r="D172" s="19" t="s">
        <v>145</v>
      </c>
      <c r="E172" s="12"/>
      <c r="F172" s="59">
        <v>17413</v>
      </c>
      <c r="G172" s="57"/>
      <c r="H172" s="57"/>
      <c r="I172" s="57"/>
      <c r="J172" s="430"/>
    </row>
    <row r="173" spans="1:10" s="58" customFormat="1" ht="47.25" hidden="1" x14ac:dyDescent="0.25">
      <c r="A173" s="53"/>
      <c r="B173" s="109" t="s">
        <v>241</v>
      </c>
      <c r="C173" s="53">
        <v>1</v>
      </c>
      <c r="D173" s="61" t="s">
        <v>283</v>
      </c>
      <c r="E173" s="12"/>
      <c r="F173" s="429">
        <f>F174+F179</f>
        <v>12173.15</v>
      </c>
      <c r="G173" s="57"/>
      <c r="H173" s="57"/>
      <c r="I173" s="57"/>
      <c r="J173" s="430"/>
    </row>
    <row r="174" spans="1:10" s="58" customFormat="1" ht="20.25" hidden="1" customHeight="1" x14ac:dyDescent="0.25">
      <c r="A174" s="53"/>
      <c r="B174" s="109" t="s">
        <v>241</v>
      </c>
      <c r="C174" s="53">
        <v>1</v>
      </c>
      <c r="D174" s="16" t="s">
        <v>189</v>
      </c>
      <c r="E174" s="12"/>
      <c r="F174" s="429">
        <f>SUM(F175:F178)</f>
        <v>148</v>
      </c>
      <c r="G174" s="57"/>
      <c r="H174" s="57"/>
      <c r="I174" s="57"/>
      <c r="J174" s="430"/>
    </row>
    <row r="175" spans="1:10" s="58" customFormat="1" ht="18" hidden="1" customHeight="1" x14ac:dyDescent="0.25">
      <c r="A175" s="53"/>
      <c r="B175" s="109" t="s">
        <v>241</v>
      </c>
      <c r="C175" s="53">
        <v>1</v>
      </c>
      <c r="D175" s="15" t="s">
        <v>190</v>
      </c>
      <c r="E175" s="12"/>
      <c r="F175" s="429"/>
      <c r="G175" s="57"/>
      <c r="H175" s="57"/>
      <c r="I175" s="57"/>
      <c r="J175" s="430"/>
    </row>
    <row r="176" spans="1:10" s="58" customFormat="1" ht="45" hidden="1" x14ac:dyDescent="0.25">
      <c r="A176" s="53"/>
      <c r="B176" s="109" t="s">
        <v>241</v>
      </c>
      <c r="C176" s="53">
        <v>1</v>
      </c>
      <c r="D176" s="15" t="s">
        <v>191</v>
      </c>
      <c r="E176" s="12"/>
      <c r="F176" s="429"/>
      <c r="G176" s="57"/>
      <c r="H176" s="57"/>
      <c r="I176" s="57"/>
      <c r="J176" s="430"/>
    </row>
    <row r="177" spans="1:10" s="58" customFormat="1" ht="30" hidden="1" x14ac:dyDescent="0.25">
      <c r="A177" s="53"/>
      <c r="B177" s="109" t="s">
        <v>241</v>
      </c>
      <c r="C177" s="53">
        <v>1</v>
      </c>
      <c r="D177" s="15" t="s">
        <v>192</v>
      </c>
      <c r="E177" s="12"/>
      <c r="F177" s="59">
        <v>80</v>
      </c>
      <c r="G177" s="57"/>
      <c r="H177" s="57"/>
      <c r="I177" s="57"/>
      <c r="J177" s="430"/>
    </row>
    <row r="178" spans="1:10" s="58" customFormat="1" ht="30" hidden="1" x14ac:dyDescent="0.25">
      <c r="A178" s="53"/>
      <c r="B178" s="109" t="s">
        <v>241</v>
      </c>
      <c r="C178" s="53">
        <v>1</v>
      </c>
      <c r="D178" s="15" t="s">
        <v>193</v>
      </c>
      <c r="E178" s="12"/>
      <c r="F178" s="59">
        <v>68</v>
      </c>
      <c r="G178" s="57"/>
      <c r="H178" s="57"/>
      <c r="I178" s="57"/>
      <c r="J178" s="430"/>
    </row>
    <row r="179" spans="1:10" s="58" customFormat="1" ht="30" hidden="1" x14ac:dyDescent="0.25">
      <c r="A179" s="53"/>
      <c r="B179" s="109" t="s">
        <v>241</v>
      </c>
      <c r="C179" s="53">
        <v>1</v>
      </c>
      <c r="D179" s="16" t="s">
        <v>194</v>
      </c>
      <c r="E179" s="12"/>
      <c r="F179" s="429">
        <f>SUM(F180:F182)</f>
        <v>12025.15</v>
      </c>
      <c r="G179" s="57"/>
      <c r="H179" s="57"/>
      <c r="I179" s="57"/>
      <c r="J179" s="430"/>
    </row>
    <row r="180" spans="1:10" s="58" customFormat="1" ht="30" hidden="1" x14ac:dyDescent="0.25">
      <c r="A180" s="53"/>
      <c r="B180" s="109" t="s">
        <v>241</v>
      </c>
      <c r="C180" s="53">
        <v>1</v>
      </c>
      <c r="D180" s="15" t="s">
        <v>195</v>
      </c>
      <c r="E180" s="12"/>
      <c r="F180" s="429"/>
      <c r="G180" s="57"/>
      <c r="H180" s="57"/>
      <c r="I180" s="57"/>
      <c r="J180" s="430"/>
    </row>
    <row r="181" spans="1:10" s="58" customFormat="1" ht="45" hidden="1" x14ac:dyDescent="0.25">
      <c r="A181" s="53"/>
      <c r="B181" s="109" t="s">
        <v>241</v>
      </c>
      <c r="C181" s="53">
        <v>1</v>
      </c>
      <c r="D181" s="15" t="s">
        <v>196</v>
      </c>
      <c r="E181" s="12"/>
      <c r="F181" s="59">
        <v>9330.15</v>
      </c>
      <c r="G181" s="57"/>
      <c r="H181" s="57"/>
      <c r="I181" s="57"/>
      <c r="J181" s="430"/>
    </row>
    <row r="182" spans="1:10" s="58" customFormat="1" ht="45" hidden="1" x14ac:dyDescent="0.25">
      <c r="A182" s="53"/>
      <c r="B182" s="109" t="s">
        <v>241</v>
      </c>
      <c r="C182" s="53">
        <v>1</v>
      </c>
      <c r="D182" s="15" t="s">
        <v>197</v>
      </c>
      <c r="E182" s="12"/>
      <c r="F182" s="59">
        <v>2695</v>
      </c>
      <c r="G182" s="57"/>
      <c r="H182" s="57"/>
      <c r="I182" s="57"/>
      <c r="J182" s="430"/>
    </row>
    <row r="183" spans="1:10" s="58" customFormat="1" hidden="1" x14ac:dyDescent="0.25">
      <c r="A183" s="53"/>
      <c r="B183" s="109"/>
      <c r="C183" s="53">
        <v>1</v>
      </c>
      <c r="D183" s="12" t="s">
        <v>96</v>
      </c>
      <c r="E183" s="12"/>
      <c r="F183" s="59"/>
      <c r="G183" s="57"/>
      <c r="H183" s="57"/>
      <c r="I183" s="57"/>
      <c r="J183" s="430"/>
    </row>
    <row r="184" spans="1:10" s="58" customFormat="1" ht="43.5" hidden="1" x14ac:dyDescent="0.25">
      <c r="A184" s="53"/>
      <c r="B184" s="109" t="s">
        <v>241</v>
      </c>
      <c r="C184" s="53">
        <v>1</v>
      </c>
      <c r="D184" s="14" t="s">
        <v>308</v>
      </c>
      <c r="E184" s="12"/>
      <c r="F184" s="429">
        <f>F185+F186+F190+F191</f>
        <v>17800</v>
      </c>
      <c r="G184" s="57"/>
      <c r="H184" s="57"/>
      <c r="I184" s="57"/>
      <c r="J184" s="52"/>
    </row>
    <row r="185" spans="1:10" s="58" customFormat="1" hidden="1" x14ac:dyDescent="0.25">
      <c r="A185" s="53">
        <v>1</v>
      </c>
      <c r="B185" s="109" t="s">
        <v>241</v>
      </c>
      <c r="C185" s="53">
        <v>1</v>
      </c>
      <c r="D185" s="15" t="s">
        <v>297</v>
      </c>
      <c r="E185" s="62"/>
      <c r="F185" s="63"/>
      <c r="G185" s="57"/>
      <c r="H185" s="57"/>
      <c r="I185" s="57"/>
      <c r="J185" s="52"/>
    </row>
    <row r="186" spans="1:10" s="58" customFormat="1" ht="30" hidden="1" x14ac:dyDescent="0.25">
      <c r="A186" s="53">
        <v>1</v>
      </c>
      <c r="B186" s="109" t="s">
        <v>241</v>
      </c>
      <c r="C186" s="53">
        <v>1</v>
      </c>
      <c r="D186" s="16" t="s">
        <v>298</v>
      </c>
      <c r="E186" s="62"/>
      <c r="F186" s="63">
        <f>F187+F189</f>
        <v>15800</v>
      </c>
      <c r="G186" s="57"/>
      <c r="H186" s="57"/>
      <c r="I186" s="57"/>
      <c r="J186" s="52"/>
    </row>
    <row r="187" spans="1:10" s="124" customFormat="1" hidden="1" x14ac:dyDescent="0.25">
      <c r="A187" s="104"/>
      <c r="B187" s="109" t="s">
        <v>241</v>
      </c>
      <c r="C187" s="53">
        <v>1</v>
      </c>
      <c r="D187" s="15" t="s">
        <v>299</v>
      </c>
      <c r="E187" s="13"/>
      <c r="F187" s="17">
        <v>15000</v>
      </c>
      <c r="G187" s="10"/>
      <c r="H187" s="10"/>
      <c r="I187" s="10"/>
      <c r="J187" s="52"/>
    </row>
    <row r="188" spans="1:10" s="58" customFormat="1" ht="30" hidden="1" x14ac:dyDescent="0.25">
      <c r="A188" s="53">
        <v>1</v>
      </c>
      <c r="B188" s="109" t="s">
        <v>241</v>
      </c>
      <c r="C188" s="53">
        <v>1</v>
      </c>
      <c r="D188" s="15" t="s">
        <v>300</v>
      </c>
      <c r="E188" s="62"/>
      <c r="F188" s="55"/>
      <c r="G188" s="57"/>
      <c r="H188" s="57"/>
      <c r="I188" s="57"/>
      <c r="J188" s="52"/>
    </row>
    <row r="189" spans="1:10" s="58" customFormat="1" ht="45" hidden="1" x14ac:dyDescent="0.25">
      <c r="A189" s="53">
        <v>1</v>
      </c>
      <c r="B189" s="109" t="s">
        <v>241</v>
      </c>
      <c r="C189" s="53">
        <v>1</v>
      </c>
      <c r="D189" s="15" t="s">
        <v>301</v>
      </c>
      <c r="E189" s="62"/>
      <c r="F189" s="55">
        <v>800</v>
      </c>
      <c r="G189" s="57"/>
      <c r="H189" s="57"/>
      <c r="I189" s="57"/>
      <c r="J189" s="52"/>
    </row>
    <row r="190" spans="1:10" s="58" customFormat="1" ht="45" hidden="1" x14ac:dyDescent="0.25">
      <c r="A190" s="53">
        <v>1</v>
      </c>
      <c r="B190" s="109" t="s">
        <v>241</v>
      </c>
      <c r="C190" s="53">
        <v>1</v>
      </c>
      <c r="D190" s="15" t="s">
        <v>309</v>
      </c>
      <c r="E190" s="281"/>
      <c r="F190" s="55"/>
      <c r="G190" s="57"/>
      <c r="H190" s="57"/>
      <c r="I190" s="57"/>
      <c r="J190" s="52"/>
    </row>
    <row r="191" spans="1:10" s="58" customFormat="1" ht="45" hidden="1" x14ac:dyDescent="0.25">
      <c r="A191" s="53">
        <v>1</v>
      </c>
      <c r="B191" s="109" t="s">
        <v>241</v>
      </c>
      <c r="C191" s="53">
        <v>1</v>
      </c>
      <c r="D191" s="18" t="s">
        <v>310</v>
      </c>
      <c r="E191" s="64"/>
      <c r="F191" s="63">
        <v>2000</v>
      </c>
      <c r="G191" s="65"/>
      <c r="H191" s="65"/>
      <c r="I191" s="43"/>
      <c r="J191" s="52"/>
    </row>
    <row r="192" spans="1:10" s="58" customFormat="1" ht="29.25" hidden="1" x14ac:dyDescent="0.25">
      <c r="A192" s="53">
        <v>1</v>
      </c>
      <c r="B192" s="109" t="s">
        <v>241</v>
      </c>
      <c r="C192" s="53">
        <v>1</v>
      </c>
      <c r="D192" s="14" t="s">
        <v>313</v>
      </c>
      <c r="E192" s="13"/>
      <c r="F192" s="55">
        <f>F193</f>
        <v>8000</v>
      </c>
      <c r="G192" s="65"/>
      <c r="H192" s="65"/>
      <c r="I192" s="43"/>
      <c r="J192" s="52"/>
    </row>
    <row r="193" spans="1:10" s="58" customFormat="1" hidden="1" x14ac:dyDescent="0.25">
      <c r="A193" s="53">
        <v>1</v>
      </c>
      <c r="B193" s="109" t="s">
        <v>241</v>
      </c>
      <c r="C193" s="53">
        <v>1</v>
      </c>
      <c r="D193" s="14" t="s">
        <v>304</v>
      </c>
      <c r="E193" s="13"/>
      <c r="F193" s="55">
        <v>8000</v>
      </c>
      <c r="G193" s="65"/>
      <c r="H193" s="65"/>
      <c r="I193" s="43"/>
      <c r="J193" s="52"/>
    </row>
    <row r="194" spans="1:10" s="58" customFormat="1" hidden="1" x14ac:dyDescent="0.25">
      <c r="A194" s="53">
        <v>1</v>
      </c>
      <c r="B194" s="109" t="s">
        <v>241</v>
      </c>
      <c r="C194" s="53">
        <v>1</v>
      </c>
      <c r="D194" s="15" t="s">
        <v>305</v>
      </c>
      <c r="E194" s="13"/>
      <c r="F194" s="55"/>
      <c r="G194" s="65"/>
      <c r="H194" s="65"/>
      <c r="I194" s="43"/>
      <c r="J194" s="52"/>
    </row>
    <row r="195" spans="1:10" s="58" customFormat="1" ht="29.25" hidden="1" x14ac:dyDescent="0.25">
      <c r="A195" s="53">
        <v>1</v>
      </c>
      <c r="B195" s="109" t="s">
        <v>241</v>
      </c>
      <c r="C195" s="53">
        <v>1</v>
      </c>
      <c r="D195" s="14" t="s">
        <v>306</v>
      </c>
      <c r="E195" s="13"/>
      <c r="F195" s="55">
        <v>8700</v>
      </c>
      <c r="G195" s="65"/>
      <c r="H195" s="65"/>
      <c r="I195" s="43"/>
      <c r="J195" s="52"/>
    </row>
    <row r="196" spans="1:10" s="58" customFormat="1" hidden="1" x14ac:dyDescent="0.25">
      <c r="A196" s="53">
        <v>1</v>
      </c>
      <c r="B196" s="109" t="s">
        <v>241</v>
      </c>
      <c r="C196" s="53">
        <v>1</v>
      </c>
      <c r="D196" s="19" t="s">
        <v>115</v>
      </c>
      <c r="E196" s="13"/>
      <c r="F196" s="63"/>
      <c r="G196" s="65"/>
      <c r="H196" s="65"/>
      <c r="I196" s="43"/>
      <c r="J196" s="52"/>
    </row>
    <row r="197" spans="1:10" s="58" customFormat="1" ht="57.75" hidden="1" x14ac:dyDescent="0.25">
      <c r="A197" s="53">
        <v>1</v>
      </c>
      <c r="B197" s="109" t="s">
        <v>241</v>
      </c>
      <c r="C197" s="53">
        <v>1</v>
      </c>
      <c r="D197" s="21" t="s">
        <v>312</v>
      </c>
      <c r="E197" s="13"/>
      <c r="F197" s="63"/>
      <c r="G197" s="65"/>
      <c r="H197" s="65"/>
      <c r="I197" s="43"/>
      <c r="J197" s="52"/>
    </row>
    <row r="198" spans="1:10" s="58" customFormat="1" hidden="1" x14ac:dyDescent="0.25">
      <c r="A198" s="53">
        <v>1</v>
      </c>
      <c r="B198" s="109" t="s">
        <v>241</v>
      </c>
      <c r="C198" s="53">
        <v>1</v>
      </c>
      <c r="D198" s="20" t="s">
        <v>158</v>
      </c>
      <c r="E198" s="13"/>
      <c r="F198" s="432">
        <f>SUM(F199:F208)</f>
        <v>27300</v>
      </c>
      <c r="G198" s="65"/>
      <c r="H198" s="65"/>
      <c r="I198" s="43"/>
      <c r="J198" s="52"/>
    </row>
    <row r="199" spans="1:10" s="58" customFormat="1" ht="30" hidden="1" x14ac:dyDescent="0.25">
      <c r="A199" s="53"/>
      <c r="B199" s="109" t="s">
        <v>241</v>
      </c>
      <c r="C199" s="53">
        <v>1</v>
      </c>
      <c r="D199" s="464" t="s">
        <v>123</v>
      </c>
      <c r="E199" s="13"/>
      <c r="F199" s="55">
        <v>12000</v>
      </c>
      <c r="G199" s="465"/>
      <c r="H199" s="465"/>
      <c r="I199" s="29"/>
      <c r="J199" s="52"/>
    </row>
    <row r="200" spans="1:10" s="58" customFormat="1" hidden="1" x14ac:dyDescent="0.25">
      <c r="A200" s="53"/>
      <c r="B200" s="109" t="s">
        <v>241</v>
      </c>
      <c r="C200" s="53">
        <v>1</v>
      </c>
      <c r="D200" s="466" t="s">
        <v>16</v>
      </c>
      <c r="E200" s="13"/>
      <c r="F200" s="55">
        <v>4200</v>
      </c>
      <c r="G200" s="465"/>
      <c r="H200" s="465"/>
      <c r="I200" s="29"/>
      <c r="J200" s="52"/>
    </row>
    <row r="201" spans="1:10" s="58" customFormat="1" hidden="1" x14ac:dyDescent="0.25">
      <c r="A201" s="53">
        <v>1</v>
      </c>
      <c r="B201" s="109" t="s">
        <v>241</v>
      </c>
      <c r="C201" s="53">
        <v>1</v>
      </c>
      <c r="D201" s="466" t="s">
        <v>50</v>
      </c>
      <c r="E201" s="13"/>
      <c r="F201" s="55">
        <v>6300</v>
      </c>
      <c r="G201" s="465"/>
      <c r="H201" s="465"/>
      <c r="I201" s="29"/>
      <c r="J201" s="52"/>
    </row>
    <row r="202" spans="1:10" s="58" customFormat="1" hidden="1" x14ac:dyDescent="0.25">
      <c r="A202" s="53"/>
      <c r="B202" s="109"/>
      <c r="C202" s="53">
        <v>1</v>
      </c>
      <c r="D202" s="466" t="s">
        <v>52</v>
      </c>
      <c r="E202" s="13"/>
      <c r="F202" s="55">
        <v>100</v>
      </c>
      <c r="G202" s="465"/>
      <c r="H202" s="465"/>
      <c r="I202" s="29"/>
      <c r="J202" s="52"/>
    </row>
    <row r="203" spans="1:10" s="58" customFormat="1" hidden="1" x14ac:dyDescent="0.25">
      <c r="A203" s="53">
        <v>1</v>
      </c>
      <c r="B203" s="109" t="s">
        <v>241</v>
      </c>
      <c r="C203" s="53">
        <v>1</v>
      </c>
      <c r="D203" s="467" t="s">
        <v>182</v>
      </c>
      <c r="E203" s="13"/>
      <c r="F203" s="55">
        <v>1200</v>
      </c>
      <c r="G203" s="465"/>
      <c r="H203" s="465"/>
      <c r="I203" s="29"/>
      <c r="J203" s="52"/>
    </row>
    <row r="204" spans="1:10" s="58" customFormat="1" ht="19.5" hidden="1" customHeight="1" x14ac:dyDescent="0.25">
      <c r="A204" s="53">
        <v>1</v>
      </c>
      <c r="B204" s="109" t="s">
        <v>241</v>
      </c>
      <c r="C204" s="53">
        <v>1</v>
      </c>
      <c r="D204" s="126" t="s">
        <v>208</v>
      </c>
      <c r="E204" s="13"/>
      <c r="F204" s="75">
        <v>1500</v>
      </c>
      <c r="G204" s="465"/>
      <c r="H204" s="465"/>
      <c r="I204" s="29"/>
      <c r="J204" s="52"/>
    </row>
    <row r="205" spans="1:10" s="58" customFormat="1" hidden="1" x14ac:dyDescent="0.25">
      <c r="A205" s="53"/>
      <c r="B205" s="109" t="s">
        <v>241</v>
      </c>
      <c r="C205" s="53">
        <v>1</v>
      </c>
      <c r="D205" s="126" t="s">
        <v>15</v>
      </c>
      <c r="E205" s="13"/>
      <c r="F205" s="75">
        <v>200</v>
      </c>
      <c r="G205" s="465"/>
      <c r="H205" s="465"/>
      <c r="I205" s="29"/>
      <c r="J205" s="52"/>
    </row>
    <row r="206" spans="1:10" s="58" customFormat="1" hidden="1" x14ac:dyDescent="0.25">
      <c r="A206" s="53"/>
      <c r="B206" s="109"/>
      <c r="C206" s="53">
        <v>1</v>
      </c>
      <c r="D206" s="126" t="s">
        <v>27</v>
      </c>
      <c r="E206" s="13"/>
      <c r="F206" s="75">
        <v>100</v>
      </c>
      <c r="G206" s="465"/>
      <c r="H206" s="465"/>
      <c r="I206" s="29"/>
      <c r="J206" s="52"/>
    </row>
    <row r="207" spans="1:10" s="58" customFormat="1" hidden="1" x14ac:dyDescent="0.25">
      <c r="A207" s="53"/>
      <c r="B207" s="109" t="s">
        <v>241</v>
      </c>
      <c r="C207" s="53">
        <v>1</v>
      </c>
      <c r="D207" s="468" t="s">
        <v>118</v>
      </c>
      <c r="E207" s="13"/>
      <c r="F207" s="75">
        <v>1500</v>
      </c>
      <c r="G207" s="465"/>
      <c r="H207" s="465"/>
      <c r="I207" s="29"/>
      <c r="J207" s="52"/>
    </row>
    <row r="208" spans="1:10" s="58" customFormat="1" hidden="1" x14ac:dyDescent="0.25">
      <c r="A208" s="53"/>
      <c r="B208" s="109"/>
      <c r="C208" s="53">
        <v>1</v>
      </c>
      <c r="D208" s="468" t="s">
        <v>51</v>
      </c>
      <c r="E208" s="13"/>
      <c r="F208" s="75">
        <v>200</v>
      </c>
      <c r="G208" s="465"/>
      <c r="H208" s="465"/>
      <c r="I208" s="29"/>
      <c r="J208" s="52"/>
    </row>
    <row r="209" spans="1:10" s="58" customFormat="1" hidden="1" x14ac:dyDescent="0.25">
      <c r="A209" s="53"/>
      <c r="B209" s="109" t="s">
        <v>241</v>
      </c>
      <c r="C209" s="53">
        <v>1</v>
      </c>
      <c r="D209" s="21" t="s">
        <v>198</v>
      </c>
      <c r="E209" s="13"/>
      <c r="F209" s="398">
        <f>F184+F164</f>
        <v>36075</v>
      </c>
      <c r="G209" s="465"/>
      <c r="H209" s="465"/>
      <c r="I209" s="29"/>
      <c r="J209" s="430"/>
    </row>
    <row r="210" spans="1:10" s="58" customFormat="1" ht="29.25" hidden="1" x14ac:dyDescent="0.25">
      <c r="A210" s="53"/>
      <c r="B210" s="109" t="s">
        <v>241</v>
      </c>
      <c r="C210" s="53">
        <v>1</v>
      </c>
      <c r="D210" s="21" t="s">
        <v>199</v>
      </c>
      <c r="E210" s="13"/>
      <c r="F210" s="398">
        <f>F173</f>
        <v>12173.15</v>
      </c>
      <c r="G210" s="465"/>
      <c r="H210" s="465"/>
      <c r="I210" s="29"/>
      <c r="J210" s="430"/>
    </row>
    <row r="211" spans="1:10" s="58" customFormat="1" hidden="1" x14ac:dyDescent="0.25">
      <c r="A211" s="53"/>
      <c r="B211" s="109" t="s">
        <v>241</v>
      </c>
      <c r="C211" s="53">
        <v>1</v>
      </c>
      <c r="D211" s="21" t="s">
        <v>200</v>
      </c>
      <c r="E211" s="13"/>
      <c r="F211" s="398">
        <f>F193+F171</f>
        <v>25413</v>
      </c>
      <c r="G211" s="465"/>
      <c r="H211" s="465"/>
      <c r="I211" s="29"/>
      <c r="J211" s="430"/>
    </row>
    <row r="212" spans="1:10" s="58" customFormat="1" ht="29.25" hidden="1" x14ac:dyDescent="0.25">
      <c r="A212" s="53"/>
      <c r="B212" s="109" t="s">
        <v>241</v>
      </c>
      <c r="C212" s="53">
        <v>1</v>
      </c>
      <c r="D212" s="21" t="s">
        <v>201</v>
      </c>
      <c r="E212" s="469"/>
      <c r="F212" s="446">
        <f>F195</f>
        <v>8700</v>
      </c>
      <c r="G212" s="470"/>
      <c r="H212" s="470"/>
      <c r="I212" s="302"/>
      <c r="J212" s="430"/>
    </row>
    <row r="213" spans="1:10" s="58" customFormat="1" hidden="1" x14ac:dyDescent="0.25">
      <c r="A213" s="53"/>
      <c r="B213" s="109" t="s">
        <v>241</v>
      </c>
      <c r="C213" s="53">
        <v>1</v>
      </c>
      <c r="D213" s="471" t="s">
        <v>109</v>
      </c>
      <c r="E213" s="472"/>
      <c r="F213" s="473">
        <f>F209+F210+F212+F211*2.9</f>
        <v>130645.85</v>
      </c>
      <c r="G213" s="474"/>
      <c r="H213" s="474"/>
      <c r="I213" s="473"/>
      <c r="J213" s="430"/>
    </row>
    <row r="214" spans="1:10" s="53" customFormat="1" hidden="1" x14ac:dyDescent="0.25">
      <c r="A214" s="53">
        <v>1</v>
      </c>
      <c r="B214" s="109" t="s">
        <v>241</v>
      </c>
      <c r="C214" s="53">
        <v>1</v>
      </c>
      <c r="D214" s="475" t="s">
        <v>7</v>
      </c>
      <c r="E214" s="320"/>
      <c r="F214" s="55"/>
      <c r="G214" s="2"/>
      <c r="H214" s="2"/>
      <c r="I214" s="2"/>
      <c r="J214" s="152"/>
    </row>
    <row r="215" spans="1:10" s="53" customFormat="1" hidden="1" x14ac:dyDescent="0.25">
      <c r="A215" s="53">
        <v>1</v>
      </c>
      <c r="B215" s="109" t="s">
        <v>241</v>
      </c>
      <c r="C215" s="53">
        <v>1</v>
      </c>
      <c r="D215" s="306" t="s">
        <v>91</v>
      </c>
      <c r="E215" s="54"/>
      <c r="F215" s="55"/>
      <c r="G215" s="2"/>
      <c r="H215" s="2"/>
      <c r="I215" s="2"/>
      <c r="J215" s="152"/>
    </row>
    <row r="216" spans="1:10" s="53" customFormat="1" hidden="1" x14ac:dyDescent="0.25">
      <c r="A216" s="53">
        <v>1</v>
      </c>
      <c r="B216" s="109" t="s">
        <v>241</v>
      </c>
      <c r="C216" s="53">
        <v>1</v>
      </c>
      <c r="D216" s="396" t="s">
        <v>13</v>
      </c>
      <c r="E216" s="54">
        <v>300</v>
      </c>
      <c r="F216" s="55">
        <v>230</v>
      </c>
      <c r="G216" s="47">
        <v>11</v>
      </c>
      <c r="H216" s="2">
        <f>ROUND(I216/E216,0)</f>
        <v>8</v>
      </c>
      <c r="I216" s="2">
        <f>ROUND(F216*G216,0)</f>
        <v>2530</v>
      </c>
      <c r="J216" s="152"/>
    </row>
    <row r="217" spans="1:10" s="53" customFormat="1" hidden="1" x14ac:dyDescent="0.25">
      <c r="A217" s="53">
        <v>1</v>
      </c>
      <c r="B217" s="109" t="s">
        <v>241</v>
      </c>
      <c r="C217" s="53">
        <v>1</v>
      </c>
      <c r="D217" s="458" t="s">
        <v>9</v>
      </c>
      <c r="E217" s="76"/>
      <c r="F217" s="459">
        <f>SUM(F216)</f>
        <v>230</v>
      </c>
      <c r="G217" s="36">
        <f>G216</f>
        <v>11</v>
      </c>
      <c r="H217" s="31">
        <f>H216</f>
        <v>8</v>
      </c>
      <c r="I217" s="31">
        <f>I216</f>
        <v>2530</v>
      </c>
      <c r="J217" s="152"/>
    </row>
    <row r="218" spans="1:10" s="53" customFormat="1" hidden="1" x14ac:dyDescent="0.25">
      <c r="A218" s="53">
        <v>1</v>
      </c>
      <c r="B218" s="109" t="s">
        <v>241</v>
      </c>
      <c r="C218" s="53">
        <v>1</v>
      </c>
      <c r="D218" s="306" t="s">
        <v>18</v>
      </c>
      <c r="E218" s="54"/>
      <c r="F218" s="459"/>
      <c r="G218" s="36"/>
      <c r="H218" s="31"/>
      <c r="I218" s="31"/>
      <c r="J218" s="152"/>
    </row>
    <row r="219" spans="1:10" s="53" customFormat="1" hidden="1" x14ac:dyDescent="0.25">
      <c r="A219" s="53">
        <v>1</v>
      </c>
      <c r="B219" s="109" t="s">
        <v>241</v>
      </c>
      <c r="C219" s="53">
        <v>1</v>
      </c>
      <c r="D219" s="307" t="s">
        <v>24</v>
      </c>
      <c r="E219" s="54">
        <v>240</v>
      </c>
      <c r="F219" s="55">
        <v>240</v>
      </c>
      <c r="G219" s="47">
        <v>8</v>
      </c>
      <c r="H219" s="2">
        <f>ROUND(I219/E219,0)</f>
        <v>8</v>
      </c>
      <c r="I219" s="2">
        <f>ROUND(F219*G219,0)</f>
        <v>1920</v>
      </c>
      <c r="J219" s="152"/>
    </row>
    <row r="220" spans="1:10" s="53" customFormat="1" hidden="1" x14ac:dyDescent="0.25">
      <c r="A220" s="53">
        <v>1</v>
      </c>
      <c r="B220" s="109" t="s">
        <v>241</v>
      </c>
      <c r="C220" s="53">
        <v>1</v>
      </c>
      <c r="D220" s="308" t="s">
        <v>92</v>
      </c>
      <c r="E220" s="77"/>
      <c r="F220" s="459">
        <f>SUM(F219)</f>
        <v>240</v>
      </c>
      <c r="G220" s="476">
        <f>G219</f>
        <v>8</v>
      </c>
      <c r="H220" s="31">
        <f>H219</f>
        <v>8</v>
      </c>
      <c r="I220" s="31">
        <f>I219</f>
        <v>1920</v>
      </c>
      <c r="J220" s="152"/>
    </row>
    <row r="221" spans="1:10" s="53" customFormat="1" hidden="1" x14ac:dyDescent="0.25">
      <c r="A221" s="53">
        <v>1</v>
      </c>
      <c r="B221" s="109" t="s">
        <v>241</v>
      </c>
      <c r="C221" s="53">
        <v>1</v>
      </c>
      <c r="D221" s="311" t="s">
        <v>86</v>
      </c>
      <c r="E221" s="13"/>
      <c r="F221" s="398">
        <f>F217+F220</f>
        <v>470</v>
      </c>
      <c r="G221" s="143">
        <f>I221/F221</f>
        <v>9.4680851063829792</v>
      </c>
      <c r="H221" s="29">
        <f>H217+H220</f>
        <v>16</v>
      </c>
      <c r="I221" s="29">
        <f>I217+I220</f>
        <v>4450</v>
      </c>
      <c r="J221" s="152"/>
    </row>
    <row r="222" spans="1:10" s="53" customFormat="1" ht="15.75" hidden="1" thickBot="1" x14ac:dyDescent="0.3">
      <c r="A222" s="53">
        <v>1</v>
      </c>
      <c r="B222" s="109" t="s">
        <v>241</v>
      </c>
      <c r="C222" s="53">
        <v>1</v>
      </c>
      <c r="D222" s="448" t="s">
        <v>220</v>
      </c>
      <c r="E222" s="420"/>
      <c r="F222" s="419"/>
      <c r="G222" s="420"/>
      <c r="H222" s="420"/>
      <c r="I222" s="420"/>
      <c r="J222" s="152"/>
    </row>
    <row r="223" spans="1:10" ht="29.25" hidden="1" x14ac:dyDescent="0.25">
      <c r="A223" s="53">
        <v>1</v>
      </c>
      <c r="B223" s="109" t="s">
        <v>242</v>
      </c>
      <c r="C223" s="53">
        <v>1</v>
      </c>
      <c r="D223" s="674" t="s">
        <v>384</v>
      </c>
      <c r="E223" s="452"/>
      <c r="F223" s="55"/>
      <c r="G223" s="2"/>
      <c r="H223" s="2"/>
      <c r="I223" s="2"/>
    </row>
    <row r="224" spans="1:10" hidden="1" x14ac:dyDescent="0.25">
      <c r="A224" s="53">
        <v>1</v>
      </c>
      <c r="B224" s="109" t="s">
        <v>242</v>
      </c>
      <c r="C224" s="53">
        <v>1</v>
      </c>
      <c r="D224" s="395" t="s">
        <v>4</v>
      </c>
      <c r="E224" s="54"/>
      <c r="F224" s="55"/>
      <c r="G224" s="2"/>
      <c r="H224" s="2"/>
      <c r="I224" s="2"/>
    </row>
    <row r="225" spans="1:10" hidden="1" x14ac:dyDescent="0.25">
      <c r="A225" s="53">
        <v>1</v>
      </c>
      <c r="B225" s="109" t="s">
        <v>242</v>
      </c>
      <c r="C225" s="53">
        <v>1</v>
      </c>
      <c r="D225" s="396" t="s">
        <v>40</v>
      </c>
      <c r="E225" s="54">
        <v>320</v>
      </c>
      <c r="F225" s="55">
        <v>1754</v>
      </c>
      <c r="G225" s="47">
        <v>10.5</v>
      </c>
      <c r="H225" s="2">
        <f>ROUND(I225/E225,0)</f>
        <v>58</v>
      </c>
      <c r="I225" s="2">
        <f>ROUND(F225*G225,0)</f>
        <v>18417</v>
      </c>
    </row>
    <row r="226" spans="1:10" hidden="1" x14ac:dyDescent="0.25">
      <c r="A226" s="53">
        <v>1</v>
      </c>
      <c r="B226" s="109" t="s">
        <v>242</v>
      </c>
      <c r="C226" s="53">
        <v>1</v>
      </c>
      <c r="D226" s="397" t="s">
        <v>5</v>
      </c>
      <c r="E226" s="54">
        <v>320</v>
      </c>
      <c r="F226" s="398">
        <f>SUM(F225)</f>
        <v>1754</v>
      </c>
      <c r="G226" s="143">
        <f>I226/F226</f>
        <v>10.5</v>
      </c>
      <c r="H226" s="29">
        <f>H225</f>
        <v>58</v>
      </c>
      <c r="I226" s="29">
        <f>I225</f>
        <v>18417</v>
      </c>
    </row>
    <row r="227" spans="1:10" s="58" customFormat="1" ht="45" hidden="1" customHeight="1" x14ac:dyDescent="0.25">
      <c r="A227" s="53">
        <v>1</v>
      </c>
      <c r="B227" s="109" t="s">
        <v>242</v>
      </c>
      <c r="C227" s="53">
        <v>1</v>
      </c>
      <c r="D227" s="101" t="s">
        <v>294</v>
      </c>
      <c r="E227" s="12"/>
      <c r="F227" s="429"/>
      <c r="G227" s="57"/>
      <c r="H227" s="57"/>
      <c r="I227" s="57"/>
      <c r="J227" s="430"/>
    </row>
    <row r="228" spans="1:10" s="58" customFormat="1" hidden="1" x14ac:dyDescent="0.25">
      <c r="A228" s="53"/>
      <c r="B228" s="109" t="s">
        <v>242</v>
      </c>
      <c r="C228" s="53">
        <v>1</v>
      </c>
      <c r="D228" s="14" t="s">
        <v>187</v>
      </c>
      <c r="E228" s="12"/>
      <c r="F228" s="429">
        <f>F230+F231+F232+F233</f>
        <v>19806</v>
      </c>
      <c r="G228" s="57"/>
      <c r="H228" s="57"/>
      <c r="I228" s="57"/>
      <c r="J228" s="430"/>
    </row>
    <row r="229" spans="1:10" s="58" customFormat="1" hidden="1" x14ac:dyDescent="0.25">
      <c r="A229" s="53"/>
      <c r="B229" s="109" t="s">
        <v>242</v>
      </c>
      <c r="C229" s="53">
        <v>1</v>
      </c>
      <c r="D229" s="18" t="s">
        <v>113</v>
      </c>
      <c r="E229" s="12"/>
      <c r="F229" s="429"/>
      <c r="G229" s="57"/>
      <c r="H229" s="57"/>
      <c r="I229" s="57"/>
      <c r="J229" s="430"/>
    </row>
    <row r="230" spans="1:10" s="58" customFormat="1" ht="30" hidden="1" x14ac:dyDescent="0.25">
      <c r="A230" s="53"/>
      <c r="B230" s="109" t="s">
        <v>242</v>
      </c>
      <c r="C230" s="53">
        <v>1</v>
      </c>
      <c r="D230" s="18" t="s">
        <v>114</v>
      </c>
      <c r="E230" s="12"/>
      <c r="F230" s="59">
        <v>4800</v>
      </c>
      <c r="G230" s="57"/>
      <c r="H230" s="57"/>
      <c r="I230" s="57"/>
      <c r="J230" s="430"/>
    </row>
    <row r="231" spans="1:10" s="58" customFormat="1" ht="30" hidden="1" x14ac:dyDescent="0.25">
      <c r="A231" s="53"/>
      <c r="B231" s="109" t="s">
        <v>242</v>
      </c>
      <c r="C231" s="53">
        <v>1</v>
      </c>
      <c r="D231" s="15" t="s">
        <v>361</v>
      </c>
      <c r="E231" s="12"/>
      <c r="F231" s="59">
        <v>4800</v>
      </c>
      <c r="G231" s="57"/>
      <c r="H231" s="57"/>
      <c r="I231" s="57"/>
      <c r="J231" s="430"/>
    </row>
    <row r="232" spans="1:10" s="58" customFormat="1" ht="45" hidden="1" x14ac:dyDescent="0.25">
      <c r="A232" s="53"/>
      <c r="B232" s="109" t="s">
        <v>242</v>
      </c>
      <c r="C232" s="53">
        <v>1</v>
      </c>
      <c r="D232" s="15" t="s">
        <v>219</v>
      </c>
      <c r="E232" s="12"/>
      <c r="F232" s="59">
        <v>500</v>
      </c>
      <c r="G232" s="57"/>
      <c r="H232" s="57"/>
      <c r="I232" s="57"/>
      <c r="J232" s="430"/>
    </row>
    <row r="233" spans="1:10" s="58" customFormat="1" ht="45" hidden="1" x14ac:dyDescent="0.25">
      <c r="A233" s="53"/>
      <c r="B233" s="109" t="s">
        <v>242</v>
      </c>
      <c r="C233" s="53">
        <v>1</v>
      </c>
      <c r="D233" s="15" t="s">
        <v>188</v>
      </c>
      <c r="E233" s="12"/>
      <c r="F233" s="59">
        <v>9706</v>
      </c>
      <c r="G233" s="57"/>
      <c r="H233" s="57"/>
      <c r="I233" s="57"/>
      <c r="J233" s="430"/>
    </row>
    <row r="234" spans="1:10" s="58" customFormat="1" ht="75.75" hidden="1" customHeight="1" x14ac:dyDescent="0.25">
      <c r="A234" s="53"/>
      <c r="B234" s="109"/>
      <c r="C234" s="53">
        <v>1</v>
      </c>
      <c r="D234" s="15" t="s">
        <v>353</v>
      </c>
      <c r="E234" s="12"/>
      <c r="F234" s="59">
        <v>300</v>
      </c>
      <c r="G234" s="57"/>
      <c r="H234" s="57"/>
      <c r="I234" s="57"/>
      <c r="J234" s="430"/>
    </row>
    <row r="235" spans="1:10" s="58" customFormat="1" hidden="1" x14ac:dyDescent="0.25">
      <c r="A235" s="53"/>
      <c r="B235" s="109" t="s">
        <v>242</v>
      </c>
      <c r="C235" s="53">
        <v>1</v>
      </c>
      <c r="D235" s="60" t="s">
        <v>88</v>
      </c>
      <c r="E235" s="12"/>
      <c r="F235" s="429">
        <f>F236</f>
        <v>51200</v>
      </c>
      <c r="G235" s="57"/>
      <c r="H235" s="57"/>
      <c r="I235" s="57"/>
      <c r="J235" s="430"/>
    </row>
    <row r="236" spans="1:10" s="58" customFormat="1" hidden="1" x14ac:dyDescent="0.25">
      <c r="A236" s="53"/>
      <c r="B236" s="109" t="s">
        <v>242</v>
      </c>
      <c r="C236" s="53">
        <v>1</v>
      </c>
      <c r="D236" s="19" t="s">
        <v>145</v>
      </c>
      <c r="E236" s="12"/>
      <c r="F236" s="59">
        <v>51200</v>
      </c>
      <c r="G236" s="57"/>
      <c r="H236" s="57"/>
      <c r="I236" s="57"/>
      <c r="J236" s="430"/>
    </row>
    <row r="237" spans="1:10" s="58" customFormat="1" ht="47.25" hidden="1" x14ac:dyDescent="0.25">
      <c r="A237" s="53"/>
      <c r="B237" s="109" t="s">
        <v>242</v>
      </c>
      <c r="C237" s="53">
        <v>1</v>
      </c>
      <c r="D237" s="61" t="s">
        <v>283</v>
      </c>
      <c r="E237" s="12"/>
      <c r="F237" s="429">
        <f>F238+F243</f>
        <v>28000</v>
      </c>
      <c r="G237" s="57"/>
      <c r="H237" s="57"/>
      <c r="I237" s="57"/>
      <c r="J237" s="430"/>
    </row>
    <row r="238" spans="1:10" s="58" customFormat="1" ht="19.5" hidden="1" customHeight="1" x14ac:dyDescent="0.25">
      <c r="A238" s="53"/>
      <c r="B238" s="109" t="s">
        <v>242</v>
      </c>
      <c r="C238" s="53">
        <v>1</v>
      </c>
      <c r="D238" s="16" t="s">
        <v>189</v>
      </c>
      <c r="E238" s="12"/>
      <c r="F238" s="429">
        <f>SUM(F239:F242)</f>
        <v>300</v>
      </c>
      <c r="G238" s="57"/>
      <c r="H238" s="57"/>
      <c r="I238" s="57"/>
      <c r="J238" s="430"/>
    </row>
    <row r="239" spans="1:10" s="58" customFormat="1" ht="17.25" hidden="1" customHeight="1" x14ac:dyDescent="0.25">
      <c r="A239" s="53"/>
      <c r="B239" s="109" t="s">
        <v>242</v>
      </c>
      <c r="C239" s="53">
        <v>1</v>
      </c>
      <c r="D239" s="15" t="s">
        <v>190</v>
      </c>
      <c r="E239" s="12"/>
      <c r="F239" s="429"/>
      <c r="G239" s="57"/>
      <c r="H239" s="57"/>
      <c r="I239" s="57"/>
      <c r="J239" s="430"/>
    </row>
    <row r="240" spans="1:10" s="58" customFormat="1" ht="45" hidden="1" x14ac:dyDescent="0.25">
      <c r="A240" s="53"/>
      <c r="B240" s="109" t="s">
        <v>242</v>
      </c>
      <c r="C240" s="53">
        <v>1</v>
      </c>
      <c r="D240" s="15" t="s">
        <v>191</v>
      </c>
      <c r="E240" s="12"/>
      <c r="F240" s="429"/>
      <c r="G240" s="57"/>
      <c r="H240" s="57"/>
      <c r="I240" s="57"/>
      <c r="J240" s="430"/>
    </row>
    <row r="241" spans="1:10" s="58" customFormat="1" ht="30" hidden="1" x14ac:dyDescent="0.25">
      <c r="A241" s="53"/>
      <c r="B241" s="109" t="s">
        <v>242</v>
      </c>
      <c r="C241" s="53">
        <v>1</v>
      </c>
      <c r="D241" s="15" t="s">
        <v>192</v>
      </c>
      <c r="E241" s="12"/>
      <c r="F241" s="59">
        <v>80</v>
      </c>
      <c r="G241" s="57"/>
      <c r="H241" s="57"/>
      <c r="I241" s="57"/>
      <c r="J241" s="430"/>
    </row>
    <row r="242" spans="1:10" s="58" customFormat="1" ht="30" hidden="1" x14ac:dyDescent="0.25">
      <c r="A242" s="53"/>
      <c r="B242" s="109" t="s">
        <v>242</v>
      </c>
      <c r="C242" s="53">
        <v>1</v>
      </c>
      <c r="D242" s="15" t="s">
        <v>193</v>
      </c>
      <c r="E242" s="12"/>
      <c r="F242" s="59">
        <v>220</v>
      </c>
      <c r="G242" s="57"/>
      <c r="H242" s="57"/>
      <c r="I242" s="57"/>
      <c r="J242" s="430"/>
    </row>
    <row r="243" spans="1:10" s="58" customFormat="1" ht="30" hidden="1" x14ac:dyDescent="0.25">
      <c r="A243" s="53"/>
      <c r="B243" s="109" t="s">
        <v>242</v>
      </c>
      <c r="C243" s="53">
        <v>1</v>
      </c>
      <c r="D243" s="16" t="s">
        <v>194</v>
      </c>
      <c r="E243" s="12"/>
      <c r="F243" s="429">
        <f>SUM(F244:F246)</f>
        <v>27700</v>
      </c>
      <c r="G243" s="57"/>
      <c r="H243" s="57"/>
      <c r="I243" s="57"/>
      <c r="J243" s="430"/>
    </row>
    <row r="244" spans="1:10" s="58" customFormat="1" ht="30" hidden="1" x14ac:dyDescent="0.25">
      <c r="A244" s="53">
        <v>1</v>
      </c>
      <c r="B244" s="109" t="s">
        <v>242</v>
      </c>
      <c r="C244" s="53">
        <v>1</v>
      </c>
      <c r="D244" s="15" t="s">
        <v>195</v>
      </c>
      <c r="E244" s="62"/>
      <c r="F244" s="63"/>
      <c r="G244" s="57"/>
      <c r="H244" s="57"/>
      <c r="I244" s="57"/>
      <c r="J244" s="430"/>
    </row>
    <row r="245" spans="1:10" s="58" customFormat="1" ht="45" hidden="1" x14ac:dyDescent="0.25">
      <c r="A245" s="53">
        <v>1</v>
      </c>
      <c r="B245" s="109" t="s">
        <v>242</v>
      </c>
      <c r="C245" s="53">
        <v>1</v>
      </c>
      <c r="D245" s="15" t="s">
        <v>196</v>
      </c>
      <c r="E245" s="62"/>
      <c r="F245" s="63">
        <v>24000</v>
      </c>
      <c r="G245" s="57"/>
      <c r="H245" s="57"/>
      <c r="I245" s="57"/>
      <c r="J245" s="430"/>
    </row>
    <row r="246" spans="1:10" s="58" customFormat="1" ht="45" hidden="1" x14ac:dyDescent="0.25">
      <c r="A246" s="53">
        <v>1</v>
      </c>
      <c r="B246" s="109" t="s">
        <v>242</v>
      </c>
      <c r="C246" s="53">
        <v>1</v>
      </c>
      <c r="D246" s="15" t="s">
        <v>197</v>
      </c>
      <c r="E246" s="62"/>
      <c r="F246" s="55">
        <v>3700</v>
      </c>
      <c r="G246" s="57"/>
      <c r="H246" s="57"/>
      <c r="I246" s="57"/>
      <c r="J246" s="430"/>
    </row>
    <row r="247" spans="1:10" s="58" customFormat="1" hidden="1" x14ac:dyDescent="0.25">
      <c r="A247" s="53"/>
      <c r="B247" s="109"/>
      <c r="C247" s="53">
        <v>1</v>
      </c>
      <c r="D247" s="12" t="s">
        <v>96</v>
      </c>
      <c r="E247" s="62"/>
      <c r="F247" s="55"/>
      <c r="G247" s="57"/>
      <c r="H247" s="57"/>
      <c r="I247" s="57"/>
      <c r="J247" s="430"/>
    </row>
    <row r="248" spans="1:10" s="58" customFormat="1" hidden="1" x14ac:dyDescent="0.25">
      <c r="A248" s="53">
        <v>1</v>
      </c>
      <c r="B248" s="109" t="s">
        <v>242</v>
      </c>
      <c r="C248" s="53">
        <v>1</v>
      </c>
      <c r="D248" s="14" t="s">
        <v>296</v>
      </c>
      <c r="E248" s="62"/>
      <c r="F248" s="55"/>
      <c r="G248" s="57"/>
      <c r="H248" s="57"/>
      <c r="I248" s="57"/>
      <c r="J248" s="52"/>
    </row>
    <row r="249" spans="1:10" s="58" customFormat="1" hidden="1" x14ac:dyDescent="0.25">
      <c r="A249" s="53">
        <v>1</v>
      </c>
      <c r="B249" s="109" t="s">
        <v>242</v>
      </c>
      <c r="C249" s="53">
        <v>1</v>
      </c>
      <c r="D249" s="15" t="s">
        <v>297</v>
      </c>
      <c r="E249" s="62"/>
      <c r="F249" s="55"/>
      <c r="G249" s="57"/>
      <c r="H249" s="57"/>
      <c r="I249" s="57"/>
      <c r="J249" s="52"/>
    </row>
    <row r="250" spans="1:10" s="58" customFormat="1" ht="30" hidden="1" x14ac:dyDescent="0.25">
      <c r="A250" s="53">
        <v>1</v>
      </c>
      <c r="B250" s="109" t="s">
        <v>242</v>
      </c>
      <c r="C250" s="53">
        <v>1</v>
      </c>
      <c r="D250" s="16" t="s">
        <v>298</v>
      </c>
      <c r="E250" s="62"/>
      <c r="F250" s="55"/>
      <c r="G250" s="78"/>
      <c r="H250" s="78"/>
      <c r="I250" s="78"/>
      <c r="J250" s="52"/>
    </row>
    <row r="251" spans="1:10" s="124" customFormat="1" hidden="1" x14ac:dyDescent="0.25">
      <c r="A251" s="104"/>
      <c r="B251" s="109" t="s">
        <v>242</v>
      </c>
      <c r="C251" s="53">
        <v>1</v>
      </c>
      <c r="D251" s="15" t="s">
        <v>299</v>
      </c>
      <c r="E251" s="13"/>
      <c r="F251" s="17"/>
      <c r="G251" s="10"/>
      <c r="H251" s="10"/>
      <c r="I251" s="10"/>
      <c r="J251" s="52"/>
    </row>
    <row r="252" spans="1:10" ht="30" hidden="1" x14ac:dyDescent="0.25">
      <c r="A252" s="53">
        <v>1</v>
      </c>
      <c r="B252" s="109" t="s">
        <v>242</v>
      </c>
      <c r="C252" s="53">
        <v>1</v>
      </c>
      <c r="D252" s="15" t="s">
        <v>300</v>
      </c>
      <c r="E252" s="13"/>
      <c r="F252" s="55"/>
      <c r="G252" s="2"/>
      <c r="H252" s="2"/>
      <c r="I252" s="2"/>
    </row>
    <row r="253" spans="1:10" s="58" customFormat="1" ht="45" hidden="1" x14ac:dyDescent="0.25">
      <c r="A253" s="53">
        <v>1</v>
      </c>
      <c r="B253" s="109" t="s">
        <v>242</v>
      </c>
      <c r="C253" s="53">
        <v>1</v>
      </c>
      <c r="D253" s="15" t="s">
        <v>301</v>
      </c>
      <c r="E253" s="281"/>
      <c r="F253" s="55"/>
      <c r="G253" s="57"/>
      <c r="H253" s="57"/>
      <c r="I253" s="57"/>
      <c r="J253" s="52"/>
    </row>
    <row r="254" spans="1:10" s="58" customFormat="1" ht="45" hidden="1" x14ac:dyDescent="0.25">
      <c r="A254" s="53">
        <v>1</v>
      </c>
      <c r="B254" s="109" t="s">
        <v>242</v>
      </c>
      <c r="C254" s="53">
        <v>1</v>
      </c>
      <c r="D254" s="15" t="s">
        <v>309</v>
      </c>
      <c r="E254" s="13"/>
      <c r="F254" s="55"/>
      <c r="G254" s="65"/>
      <c r="H254" s="65"/>
      <c r="I254" s="43"/>
      <c r="J254" s="52"/>
    </row>
    <row r="255" spans="1:10" s="58" customFormat="1" ht="45" hidden="1" x14ac:dyDescent="0.25">
      <c r="A255" s="53">
        <v>1</v>
      </c>
      <c r="B255" s="109" t="s">
        <v>242</v>
      </c>
      <c r="C255" s="53">
        <v>1</v>
      </c>
      <c r="D255" s="18" t="s">
        <v>310</v>
      </c>
      <c r="E255" s="13"/>
      <c r="F255" s="55"/>
      <c r="G255" s="65"/>
      <c r="H255" s="65"/>
      <c r="I255" s="43"/>
      <c r="J255" s="52"/>
    </row>
    <row r="256" spans="1:10" s="58" customFormat="1" hidden="1" x14ac:dyDescent="0.25">
      <c r="A256" s="53">
        <v>1</v>
      </c>
      <c r="B256" s="109" t="s">
        <v>242</v>
      </c>
      <c r="C256" s="53">
        <v>1</v>
      </c>
      <c r="D256" s="14" t="s">
        <v>303</v>
      </c>
      <c r="E256" s="13"/>
      <c r="F256" s="55"/>
      <c r="G256" s="65"/>
      <c r="H256" s="65"/>
      <c r="I256" s="43"/>
      <c r="J256" s="52"/>
    </row>
    <row r="257" spans="1:10" s="58" customFormat="1" hidden="1" x14ac:dyDescent="0.25">
      <c r="A257" s="53">
        <v>1</v>
      </c>
      <c r="B257" s="109" t="s">
        <v>242</v>
      </c>
      <c r="C257" s="53">
        <v>1</v>
      </c>
      <c r="D257" s="14" t="s">
        <v>304</v>
      </c>
      <c r="E257" s="13"/>
      <c r="F257" s="63"/>
      <c r="G257" s="65"/>
      <c r="H257" s="65"/>
      <c r="I257" s="43"/>
      <c r="J257" s="52"/>
    </row>
    <row r="258" spans="1:10" s="58" customFormat="1" hidden="1" x14ac:dyDescent="0.25">
      <c r="A258" s="53">
        <v>1</v>
      </c>
      <c r="B258" s="109" t="s">
        <v>242</v>
      </c>
      <c r="C258" s="53">
        <v>1</v>
      </c>
      <c r="D258" s="15" t="s">
        <v>305</v>
      </c>
      <c r="E258" s="13"/>
      <c r="F258" s="63"/>
      <c r="G258" s="65"/>
      <c r="H258" s="65"/>
      <c r="I258" s="43"/>
      <c r="J258" s="52"/>
    </row>
    <row r="259" spans="1:10" s="58" customFormat="1" ht="29.25" hidden="1" x14ac:dyDescent="0.25">
      <c r="A259" s="53">
        <v>1</v>
      </c>
      <c r="B259" s="109" t="s">
        <v>242</v>
      </c>
      <c r="C259" s="53">
        <v>1</v>
      </c>
      <c r="D259" s="14" t="s">
        <v>306</v>
      </c>
      <c r="E259" s="13"/>
      <c r="F259" s="63">
        <v>16200</v>
      </c>
      <c r="G259" s="65"/>
      <c r="H259" s="65"/>
      <c r="I259" s="43"/>
      <c r="J259" s="52"/>
    </row>
    <row r="260" spans="1:10" s="58" customFormat="1" hidden="1" x14ac:dyDescent="0.25">
      <c r="A260" s="53">
        <v>1</v>
      </c>
      <c r="B260" s="109" t="s">
        <v>242</v>
      </c>
      <c r="C260" s="53">
        <v>1</v>
      </c>
      <c r="D260" s="19" t="s">
        <v>115</v>
      </c>
      <c r="E260" s="13"/>
      <c r="F260" s="63"/>
      <c r="G260" s="65"/>
      <c r="H260" s="65"/>
      <c r="I260" s="43"/>
      <c r="J260" s="52"/>
    </row>
    <row r="261" spans="1:10" s="58" customFormat="1" ht="57.75" hidden="1" x14ac:dyDescent="0.25">
      <c r="A261" s="53">
        <v>1</v>
      </c>
      <c r="B261" s="109" t="s">
        <v>242</v>
      </c>
      <c r="C261" s="53">
        <v>1</v>
      </c>
      <c r="D261" s="14" t="s">
        <v>312</v>
      </c>
      <c r="E261" s="13"/>
      <c r="F261" s="63">
        <v>1000</v>
      </c>
      <c r="G261" s="65"/>
      <c r="H261" s="65"/>
      <c r="I261" s="43"/>
      <c r="J261" s="52"/>
    </row>
    <row r="262" spans="1:10" s="58" customFormat="1" hidden="1" x14ac:dyDescent="0.25">
      <c r="A262" s="53">
        <v>1</v>
      </c>
      <c r="B262" s="109" t="s">
        <v>242</v>
      </c>
      <c r="C262" s="53">
        <v>1</v>
      </c>
      <c r="D262" s="20" t="s">
        <v>158</v>
      </c>
      <c r="E262" s="13"/>
      <c r="F262" s="477">
        <f>SUM(F263:F265)</f>
        <v>2190</v>
      </c>
      <c r="G262" s="65"/>
      <c r="H262" s="65"/>
      <c r="I262" s="43"/>
      <c r="J262" s="52"/>
    </row>
    <row r="263" spans="1:10" s="58" customFormat="1" ht="18" hidden="1" customHeight="1" x14ac:dyDescent="0.25">
      <c r="A263" s="53"/>
      <c r="B263" s="109" t="s">
        <v>242</v>
      </c>
      <c r="C263" s="53">
        <v>1</v>
      </c>
      <c r="D263" s="35" t="s">
        <v>210</v>
      </c>
      <c r="E263" s="13"/>
      <c r="F263" s="75">
        <v>2000</v>
      </c>
      <c r="G263" s="65"/>
      <c r="H263" s="65"/>
      <c r="I263" s="43"/>
      <c r="J263" s="52"/>
    </row>
    <row r="264" spans="1:10" s="58" customFormat="1" ht="30" hidden="1" x14ac:dyDescent="0.25">
      <c r="A264" s="53">
        <v>1</v>
      </c>
      <c r="B264" s="109" t="s">
        <v>242</v>
      </c>
      <c r="C264" s="53">
        <v>1</v>
      </c>
      <c r="D264" s="35" t="s">
        <v>209</v>
      </c>
      <c r="E264" s="13"/>
      <c r="F264" s="55">
        <v>150</v>
      </c>
      <c r="G264" s="65"/>
      <c r="H264" s="65"/>
      <c r="I264" s="43"/>
      <c r="J264" s="52"/>
    </row>
    <row r="265" spans="1:10" s="58" customFormat="1" hidden="1" x14ac:dyDescent="0.25">
      <c r="A265" s="53"/>
      <c r="B265" s="109"/>
      <c r="C265" s="53">
        <v>1</v>
      </c>
      <c r="D265" s="35" t="s">
        <v>118</v>
      </c>
      <c r="E265" s="13"/>
      <c r="F265" s="55">
        <v>40</v>
      </c>
      <c r="G265" s="65"/>
      <c r="H265" s="65"/>
      <c r="I265" s="43"/>
      <c r="J265" s="52"/>
    </row>
    <row r="266" spans="1:10" s="58" customFormat="1" hidden="1" x14ac:dyDescent="0.25">
      <c r="A266" s="53">
        <v>1</v>
      </c>
      <c r="B266" s="109" t="s">
        <v>242</v>
      </c>
      <c r="C266" s="53">
        <v>1</v>
      </c>
      <c r="D266" s="21" t="s">
        <v>198</v>
      </c>
      <c r="E266" s="13"/>
      <c r="F266" s="478">
        <f>F248+F228</f>
        <v>19806</v>
      </c>
      <c r="G266" s="65"/>
      <c r="H266" s="65"/>
      <c r="I266" s="43"/>
      <c r="J266" s="430"/>
    </row>
    <row r="267" spans="1:10" s="58" customFormat="1" ht="29.25" hidden="1" x14ac:dyDescent="0.25">
      <c r="A267" s="53">
        <v>1</v>
      </c>
      <c r="B267" s="109" t="s">
        <v>242</v>
      </c>
      <c r="C267" s="53">
        <v>1</v>
      </c>
      <c r="D267" s="21" t="s">
        <v>199</v>
      </c>
      <c r="E267" s="13"/>
      <c r="F267" s="478">
        <f>F237</f>
        <v>28000</v>
      </c>
      <c r="G267" s="65"/>
      <c r="H267" s="65"/>
      <c r="I267" s="43"/>
      <c r="J267" s="430"/>
    </row>
    <row r="268" spans="1:10" s="58" customFormat="1" hidden="1" x14ac:dyDescent="0.25">
      <c r="A268" s="53">
        <v>1</v>
      </c>
      <c r="B268" s="109" t="s">
        <v>242</v>
      </c>
      <c r="C268" s="53">
        <v>1</v>
      </c>
      <c r="D268" s="21" t="s">
        <v>200</v>
      </c>
      <c r="E268" s="13"/>
      <c r="F268" s="478">
        <f>F256+F235</f>
        <v>51200</v>
      </c>
      <c r="G268" s="65"/>
      <c r="H268" s="65"/>
      <c r="I268" s="43"/>
      <c r="J268" s="430"/>
    </row>
    <row r="269" spans="1:10" s="58" customFormat="1" ht="29.25" hidden="1" x14ac:dyDescent="0.25">
      <c r="A269" s="53">
        <v>1</v>
      </c>
      <c r="B269" s="109" t="s">
        <v>242</v>
      </c>
      <c r="C269" s="53">
        <v>1</v>
      </c>
      <c r="D269" s="21" t="s">
        <v>201</v>
      </c>
      <c r="E269" s="13"/>
      <c r="F269" s="478">
        <f>F259+F261</f>
        <v>17200</v>
      </c>
      <c r="G269" s="65"/>
      <c r="H269" s="65"/>
      <c r="I269" s="43"/>
      <c r="J269" s="430"/>
    </row>
    <row r="270" spans="1:10" s="58" customFormat="1" hidden="1" x14ac:dyDescent="0.25">
      <c r="A270" s="53">
        <v>1</v>
      </c>
      <c r="B270" s="109" t="s">
        <v>242</v>
      </c>
      <c r="C270" s="53">
        <v>1</v>
      </c>
      <c r="D270" s="471" t="s">
        <v>109</v>
      </c>
      <c r="E270" s="13"/>
      <c r="F270" s="398">
        <f>F266+F267+F268*2.9+F269</f>
        <v>213486</v>
      </c>
      <c r="G270" s="65"/>
      <c r="H270" s="65"/>
      <c r="I270" s="43"/>
      <c r="J270" s="430"/>
    </row>
    <row r="271" spans="1:10" hidden="1" x14ac:dyDescent="0.25">
      <c r="A271" s="53">
        <v>1</v>
      </c>
      <c r="B271" s="109" t="s">
        <v>242</v>
      </c>
      <c r="C271" s="53">
        <v>1</v>
      </c>
      <c r="D271" s="44" t="s">
        <v>7</v>
      </c>
      <c r="E271" s="13"/>
      <c r="F271" s="55"/>
      <c r="G271" s="2"/>
      <c r="H271" s="2"/>
      <c r="I271" s="2"/>
    </row>
    <row r="272" spans="1:10" hidden="1" x14ac:dyDescent="0.25">
      <c r="A272" s="53">
        <v>1</v>
      </c>
      <c r="B272" s="109" t="s">
        <v>242</v>
      </c>
      <c r="C272" s="53">
        <v>1</v>
      </c>
      <c r="D272" s="306" t="s">
        <v>18</v>
      </c>
      <c r="E272" s="13"/>
      <c r="F272" s="398"/>
      <c r="G272" s="143"/>
      <c r="H272" s="29"/>
      <c r="I272" s="29"/>
    </row>
    <row r="273" spans="1:11" s="53" customFormat="1" hidden="1" x14ac:dyDescent="0.25">
      <c r="A273" s="53">
        <v>1</v>
      </c>
      <c r="B273" s="109" t="s">
        <v>242</v>
      </c>
      <c r="C273" s="53">
        <v>1</v>
      </c>
      <c r="D273" s="307" t="s">
        <v>55</v>
      </c>
      <c r="E273" s="54">
        <v>240</v>
      </c>
      <c r="F273" s="55">
        <v>1011</v>
      </c>
      <c r="G273" s="47">
        <v>8</v>
      </c>
      <c r="H273" s="2">
        <f>ROUND(I273/E273,0)</f>
        <v>34</v>
      </c>
      <c r="I273" s="2">
        <f>ROUND(F273*G273,0)</f>
        <v>8088</v>
      </c>
      <c r="J273" s="152"/>
      <c r="K273" s="79"/>
    </row>
    <row r="274" spans="1:11" s="53" customFormat="1" hidden="1" x14ac:dyDescent="0.25">
      <c r="A274" s="53">
        <v>1</v>
      </c>
      <c r="B274" s="109" t="s">
        <v>242</v>
      </c>
      <c r="C274" s="53">
        <v>1</v>
      </c>
      <c r="D274" s="479" t="s">
        <v>24</v>
      </c>
      <c r="E274" s="54">
        <v>240</v>
      </c>
      <c r="F274" s="55">
        <v>477</v>
      </c>
      <c r="G274" s="47">
        <v>8</v>
      </c>
      <c r="H274" s="2">
        <f>ROUND(I274/E274,0)</f>
        <v>16</v>
      </c>
      <c r="I274" s="2">
        <f>ROUND(F274*G274,0)</f>
        <v>3816</v>
      </c>
      <c r="J274" s="152"/>
      <c r="K274" s="79"/>
    </row>
    <row r="275" spans="1:11" s="53" customFormat="1" hidden="1" x14ac:dyDescent="0.25">
      <c r="A275" s="53">
        <v>1</v>
      </c>
      <c r="B275" s="109" t="s">
        <v>242</v>
      </c>
      <c r="C275" s="53">
        <v>1</v>
      </c>
      <c r="D275" s="308" t="s">
        <v>92</v>
      </c>
      <c r="E275" s="54"/>
      <c r="F275" s="459">
        <f>SUM(F273:F274)</f>
        <v>1488</v>
      </c>
      <c r="G275" s="476">
        <f>G273</f>
        <v>8</v>
      </c>
      <c r="H275" s="31">
        <f>SUM(H273:H274)</f>
        <v>50</v>
      </c>
      <c r="I275" s="31">
        <f>SUM(I273:I274)</f>
        <v>11904</v>
      </c>
      <c r="J275" s="152"/>
    </row>
    <row r="276" spans="1:11" hidden="1" x14ac:dyDescent="0.25">
      <c r="A276" s="53">
        <v>1</v>
      </c>
      <c r="B276" s="109" t="s">
        <v>242</v>
      </c>
      <c r="C276" s="53">
        <v>1</v>
      </c>
      <c r="D276" s="311" t="s">
        <v>86</v>
      </c>
      <c r="E276" s="13"/>
      <c r="F276" s="398">
        <f>F275</f>
        <v>1488</v>
      </c>
      <c r="G276" s="143">
        <f>I276/F276</f>
        <v>8</v>
      </c>
      <c r="H276" s="29">
        <f>H275</f>
        <v>50</v>
      </c>
      <c r="I276" s="29">
        <f>I275</f>
        <v>11904</v>
      </c>
    </row>
    <row r="277" spans="1:11" s="53" customFormat="1" ht="15.75" hidden="1" thickBot="1" x14ac:dyDescent="0.3">
      <c r="A277" s="53">
        <v>1</v>
      </c>
      <c r="B277" s="109" t="s">
        <v>242</v>
      </c>
      <c r="C277" s="53">
        <v>1</v>
      </c>
      <c r="D277" s="480" t="s">
        <v>220</v>
      </c>
      <c r="E277" s="418"/>
      <c r="F277" s="419"/>
      <c r="G277" s="420"/>
      <c r="H277" s="420"/>
      <c r="I277" s="420"/>
      <c r="J277" s="152"/>
    </row>
    <row r="278" spans="1:11" s="53" customFormat="1" ht="29.25" x14ac:dyDescent="0.25">
      <c r="A278" s="53">
        <v>1</v>
      </c>
      <c r="B278" s="109" t="s">
        <v>243</v>
      </c>
      <c r="C278" s="53">
        <v>1</v>
      </c>
      <c r="D278" s="674" t="s">
        <v>385</v>
      </c>
      <c r="E278" s="68"/>
      <c r="F278" s="55"/>
      <c r="G278" s="2"/>
      <c r="H278" s="2"/>
      <c r="I278" s="2"/>
      <c r="J278" s="152"/>
    </row>
    <row r="279" spans="1:11" s="53" customFormat="1" x14ac:dyDescent="0.25">
      <c r="A279" s="53">
        <v>1</v>
      </c>
      <c r="B279" s="109" t="s">
        <v>243</v>
      </c>
      <c r="C279" s="53">
        <v>1</v>
      </c>
      <c r="D279" s="395" t="s">
        <v>4</v>
      </c>
      <c r="E279" s="68"/>
      <c r="F279" s="55"/>
      <c r="G279" s="2"/>
      <c r="H279" s="2"/>
      <c r="I279" s="2"/>
      <c r="J279" s="152"/>
    </row>
    <row r="280" spans="1:11" s="53" customFormat="1" x14ac:dyDescent="0.25">
      <c r="A280" s="53">
        <v>1</v>
      </c>
      <c r="B280" s="109" t="s">
        <v>243</v>
      </c>
      <c r="C280" s="53">
        <v>1</v>
      </c>
      <c r="D280" s="396" t="s">
        <v>26</v>
      </c>
      <c r="E280" s="54">
        <v>300</v>
      </c>
      <c r="F280" s="55">
        <v>1900</v>
      </c>
      <c r="G280" s="47">
        <v>5.7</v>
      </c>
      <c r="H280" s="2">
        <f>ROUND(I280/E280,0)</f>
        <v>36</v>
      </c>
      <c r="I280" s="2">
        <f>ROUND(F280*G280,0)</f>
        <v>10830</v>
      </c>
      <c r="J280" s="152"/>
    </row>
    <row r="281" spans="1:11" x14ac:dyDescent="0.25">
      <c r="A281" s="53">
        <v>1</v>
      </c>
      <c r="B281" s="109" t="s">
        <v>243</v>
      </c>
      <c r="C281" s="53">
        <v>1</v>
      </c>
      <c r="D281" s="222" t="s">
        <v>107</v>
      </c>
      <c r="E281" s="115">
        <v>330</v>
      </c>
      <c r="F281" s="433">
        <v>2</v>
      </c>
      <c r="G281" s="116">
        <v>5</v>
      </c>
      <c r="H281" s="2">
        <f>ROUND(I281/E281,0)</f>
        <v>0</v>
      </c>
      <c r="I281" s="10">
        <f>ROUND(F281*G281,0)</f>
        <v>10</v>
      </c>
    </row>
    <row r="282" spans="1:11" x14ac:dyDescent="0.25">
      <c r="A282" s="53"/>
      <c r="B282" s="109" t="s">
        <v>243</v>
      </c>
      <c r="C282" s="53">
        <v>1</v>
      </c>
      <c r="D282" s="396" t="s">
        <v>22</v>
      </c>
      <c r="E282" s="54">
        <v>340</v>
      </c>
      <c r="F282" s="55">
        <v>1505</v>
      </c>
      <c r="G282" s="47">
        <v>5</v>
      </c>
      <c r="H282" s="2">
        <f>ROUND(I282/E282,0)</f>
        <v>22</v>
      </c>
      <c r="I282" s="2">
        <f>ROUND(F282*G282,0)</f>
        <v>7525</v>
      </c>
    </row>
    <row r="283" spans="1:11" x14ac:dyDescent="0.25">
      <c r="A283" s="53">
        <v>1</v>
      </c>
      <c r="B283" s="109" t="s">
        <v>243</v>
      </c>
      <c r="C283" s="53">
        <v>1</v>
      </c>
      <c r="D283" s="397" t="s">
        <v>5</v>
      </c>
      <c r="E283" s="68"/>
      <c r="F283" s="398">
        <f>SUM(F280:F282)</f>
        <v>3407</v>
      </c>
      <c r="G283" s="143">
        <f>I283/F283</f>
        <v>5.3903727619606689</v>
      </c>
      <c r="H283" s="29">
        <f>SUM(H280:H282)</f>
        <v>58</v>
      </c>
      <c r="I283" s="29">
        <f>SUM(I280:I282)</f>
        <v>18365</v>
      </c>
    </row>
    <row r="284" spans="1:11" s="53" customFormat="1" x14ac:dyDescent="0.25">
      <c r="A284" s="53">
        <v>1</v>
      </c>
      <c r="B284" s="109" t="s">
        <v>243</v>
      </c>
      <c r="C284" s="53">
        <v>1</v>
      </c>
      <c r="D284" s="73" t="s">
        <v>108</v>
      </c>
      <c r="E284" s="13"/>
      <c r="F284" s="55"/>
      <c r="G284" s="2"/>
      <c r="H284" s="2"/>
      <c r="I284" s="2"/>
      <c r="J284" s="152"/>
    </row>
    <row r="285" spans="1:11" s="53" customFormat="1" x14ac:dyDescent="0.25">
      <c r="A285" s="53">
        <v>1</v>
      </c>
      <c r="B285" s="109" t="s">
        <v>243</v>
      </c>
      <c r="C285" s="53">
        <v>1</v>
      </c>
      <c r="D285" s="266" t="s">
        <v>296</v>
      </c>
      <c r="E285" s="13"/>
      <c r="F285" s="398">
        <f>F286+F287+F291+F292</f>
        <v>49142</v>
      </c>
      <c r="G285" s="2"/>
      <c r="H285" s="2"/>
      <c r="I285" s="2"/>
      <c r="J285" s="52"/>
    </row>
    <row r="286" spans="1:11" s="53" customFormat="1" x14ac:dyDescent="0.25">
      <c r="B286" s="109" t="s">
        <v>243</v>
      </c>
      <c r="C286" s="53">
        <v>1</v>
      </c>
      <c r="D286" s="15" t="s">
        <v>297</v>
      </c>
      <c r="E286" s="13"/>
      <c r="F286" s="55"/>
      <c r="G286" s="2"/>
      <c r="H286" s="2"/>
      <c r="I286" s="2"/>
      <c r="J286" s="52"/>
    </row>
    <row r="287" spans="1:11" s="53" customFormat="1" ht="30" x14ac:dyDescent="0.25">
      <c r="B287" s="109" t="s">
        <v>243</v>
      </c>
      <c r="C287" s="53">
        <v>1</v>
      </c>
      <c r="D287" s="16" t="s">
        <v>298</v>
      </c>
      <c r="E287" s="13"/>
      <c r="F287" s="55">
        <f>F288+F289/4</f>
        <v>43842</v>
      </c>
      <c r="G287" s="2"/>
      <c r="H287" s="2"/>
      <c r="I287" s="2"/>
      <c r="J287" s="52"/>
    </row>
    <row r="288" spans="1:11" s="124" customFormat="1" x14ac:dyDescent="0.25">
      <c r="A288" s="104"/>
      <c r="B288" s="109" t="s">
        <v>243</v>
      </c>
      <c r="C288" s="53">
        <v>1</v>
      </c>
      <c r="D288" s="15" t="s">
        <v>299</v>
      </c>
      <c r="E288" s="13"/>
      <c r="F288" s="17">
        <v>43842</v>
      </c>
      <c r="G288" s="10"/>
      <c r="H288" s="10"/>
      <c r="I288" s="10"/>
      <c r="J288" s="52"/>
    </row>
    <row r="289" spans="1:10" s="53" customFormat="1" ht="30" x14ac:dyDescent="0.25">
      <c r="B289" s="109" t="s">
        <v>243</v>
      </c>
      <c r="C289" s="53">
        <v>1</v>
      </c>
      <c r="D289" s="15" t="s">
        <v>300</v>
      </c>
      <c r="E289" s="13"/>
      <c r="F289" s="55"/>
      <c r="G289" s="2"/>
      <c r="H289" s="2"/>
      <c r="I289" s="2"/>
      <c r="J289" s="52"/>
    </row>
    <row r="290" spans="1:10" s="53" customFormat="1" ht="45" x14ac:dyDescent="0.25">
      <c r="B290" s="109" t="s">
        <v>243</v>
      </c>
      <c r="C290" s="53">
        <v>1</v>
      </c>
      <c r="D290" s="15" t="s">
        <v>301</v>
      </c>
      <c r="E290" s="13"/>
      <c r="F290" s="55"/>
      <c r="G290" s="2"/>
      <c r="H290" s="2"/>
      <c r="I290" s="2"/>
      <c r="J290" s="52"/>
    </row>
    <row r="291" spans="1:10" s="53" customFormat="1" ht="45" x14ac:dyDescent="0.25">
      <c r="B291" s="109" t="s">
        <v>243</v>
      </c>
      <c r="C291" s="53">
        <v>1</v>
      </c>
      <c r="D291" s="15" t="s">
        <v>309</v>
      </c>
      <c r="E291" s="13"/>
      <c r="F291" s="55"/>
      <c r="G291" s="2"/>
      <c r="H291" s="2"/>
      <c r="I291" s="2"/>
      <c r="J291" s="52"/>
    </row>
    <row r="292" spans="1:10" s="53" customFormat="1" ht="45" x14ac:dyDescent="0.25">
      <c r="B292" s="109" t="s">
        <v>243</v>
      </c>
      <c r="C292" s="53">
        <v>1</v>
      </c>
      <c r="D292" s="15" t="s">
        <v>310</v>
      </c>
      <c r="E292" s="13"/>
      <c r="F292" s="55">
        <v>5300</v>
      </c>
      <c r="G292" s="2"/>
      <c r="H292" s="2"/>
      <c r="I292" s="2"/>
      <c r="J292" s="52"/>
    </row>
    <row r="293" spans="1:10" s="53" customFormat="1" x14ac:dyDescent="0.25">
      <c r="B293" s="109" t="s">
        <v>243</v>
      </c>
      <c r="C293" s="53">
        <v>1</v>
      </c>
      <c r="D293" s="15" t="s">
        <v>303</v>
      </c>
      <c r="E293" s="13"/>
      <c r="F293" s="55">
        <f>F294+F296/9.4</f>
        <v>26611</v>
      </c>
      <c r="G293" s="2"/>
      <c r="H293" s="2"/>
      <c r="I293" s="2"/>
      <c r="J293" s="52"/>
    </row>
    <row r="294" spans="1:10" s="53" customFormat="1" x14ac:dyDescent="0.25">
      <c r="B294" s="109" t="s">
        <v>243</v>
      </c>
      <c r="C294" s="53">
        <v>1</v>
      </c>
      <c r="D294" s="15" t="s">
        <v>304</v>
      </c>
      <c r="E294" s="13"/>
      <c r="F294" s="55">
        <v>26611</v>
      </c>
      <c r="G294" s="2"/>
      <c r="H294" s="2"/>
      <c r="I294" s="2"/>
      <c r="J294" s="52"/>
    </row>
    <row r="295" spans="1:10" s="53" customFormat="1" x14ac:dyDescent="0.25">
      <c r="B295" s="109" t="s">
        <v>243</v>
      </c>
      <c r="C295" s="53">
        <v>1</v>
      </c>
      <c r="D295" s="15" t="s">
        <v>305</v>
      </c>
      <c r="E295" s="13"/>
      <c r="F295" s="55"/>
      <c r="G295" s="2"/>
      <c r="H295" s="2"/>
      <c r="I295" s="2"/>
      <c r="J295" s="52"/>
    </row>
    <row r="296" spans="1:10" s="53" customFormat="1" x14ac:dyDescent="0.25">
      <c r="B296" s="109" t="s">
        <v>243</v>
      </c>
      <c r="C296" s="53">
        <v>1</v>
      </c>
      <c r="D296" s="42" t="s">
        <v>314</v>
      </c>
      <c r="E296" s="13"/>
      <c r="F296" s="55"/>
      <c r="G296" s="2"/>
      <c r="H296" s="2"/>
      <c r="I296" s="2"/>
      <c r="J296" s="52"/>
    </row>
    <row r="297" spans="1:10" s="53" customFormat="1" ht="29.25" x14ac:dyDescent="0.25">
      <c r="B297" s="109" t="s">
        <v>243</v>
      </c>
      <c r="C297" s="53">
        <v>1</v>
      </c>
      <c r="D297" s="14" t="s">
        <v>306</v>
      </c>
      <c r="E297" s="13"/>
      <c r="F297" s="55"/>
      <c r="G297" s="2"/>
      <c r="H297" s="2"/>
      <c r="I297" s="2"/>
      <c r="J297" s="52"/>
    </row>
    <row r="298" spans="1:10" s="53" customFormat="1" x14ac:dyDescent="0.25">
      <c r="B298" s="109" t="s">
        <v>243</v>
      </c>
      <c r="C298" s="53">
        <v>1</v>
      </c>
      <c r="D298" s="19" t="s">
        <v>115</v>
      </c>
      <c r="E298" s="13"/>
      <c r="F298" s="55"/>
      <c r="G298" s="2"/>
      <c r="H298" s="2"/>
      <c r="I298" s="2"/>
      <c r="J298" s="52"/>
    </row>
    <row r="299" spans="1:10" s="53" customFormat="1" ht="57.75" x14ac:dyDescent="0.25">
      <c r="B299" s="109" t="s">
        <v>243</v>
      </c>
      <c r="C299" s="53">
        <v>1</v>
      </c>
      <c r="D299" s="21" t="s">
        <v>312</v>
      </c>
      <c r="E299" s="13"/>
      <c r="F299" s="55">
        <v>550</v>
      </c>
      <c r="G299" s="2"/>
      <c r="H299" s="2"/>
      <c r="I299" s="2"/>
      <c r="J299" s="52"/>
    </row>
    <row r="300" spans="1:10" s="53" customFormat="1" x14ac:dyDescent="0.25">
      <c r="B300" s="109"/>
      <c r="C300" s="53">
        <v>1</v>
      </c>
      <c r="D300" s="20" t="s">
        <v>158</v>
      </c>
      <c r="E300" s="13"/>
      <c r="F300" s="398">
        <f>F301+F302</f>
        <v>3100</v>
      </c>
      <c r="G300" s="2"/>
      <c r="H300" s="2"/>
      <c r="I300" s="2"/>
      <c r="J300" s="52"/>
    </row>
    <row r="301" spans="1:10" s="53" customFormat="1" ht="60" x14ac:dyDescent="0.25">
      <c r="B301" s="109"/>
      <c r="C301" s="53">
        <v>1</v>
      </c>
      <c r="D301" s="126" t="s">
        <v>290</v>
      </c>
      <c r="E301" s="13"/>
      <c r="F301" s="55">
        <v>2000</v>
      </c>
      <c r="G301" s="2"/>
      <c r="H301" s="2"/>
      <c r="I301" s="2"/>
      <c r="J301" s="52"/>
    </row>
    <row r="302" spans="1:10" s="58" customFormat="1" ht="45" x14ac:dyDescent="0.25">
      <c r="A302" s="109"/>
      <c r="B302" s="109"/>
      <c r="C302" s="53">
        <v>1</v>
      </c>
      <c r="D302" s="126" t="s">
        <v>339</v>
      </c>
      <c r="E302" s="13"/>
      <c r="F302" s="55">
        <v>1100</v>
      </c>
      <c r="G302" s="465"/>
      <c r="H302" s="465"/>
      <c r="I302" s="29"/>
      <c r="J302" s="52"/>
    </row>
    <row r="303" spans="1:10" s="53" customFormat="1" x14ac:dyDescent="0.25">
      <c r="A303" s="53">
        <v>1</v>
      </c>
      <c r="B303" s="109" t="s">
        <v>243</v>
      </c>
      <c r="C303" s="53">
        <v>1</v>
      </c>
      <c r="D303" s="21" t="s">
        <v>198</v>
      </c>
      <c r="E303" s="13"/>
      <c r="F303" s="398">
        <f>F285</f>
        <v>49142</v>
      </c>
      <c r="G303" s="2"/>
      <c r="H303" s="2"/>
      <c r="I303" s="2"/>
      <c r="J303" s="152"/>
    </row>
    <row r="304" spans="1:10" s="53" customFormat="1" x14ac:dyDescent="0.25">
      <c r="A304" s="53">
        <v>1</v>
      </c>
      <c r="B304" s="109" t="s">
        <v>243</v>
      </c>
      <c r="C304" s="53">
        <v>1</v>
      </c>
      <c r="D304" s="21" t="s">
        <v>200</v>
      </c>
      <c r="E304" s="13"/>
      <c r="F304" s="398">
        <f>F293</f>
        <v>26611</v>
      </c>
      <c r="G304" s="2"/>
      <c r="H304" s="2"/>
      <c r="I304" s="2"/>
      <c r="J304" s="152"/>
    </row>
    <row r="305" spans="1:10" s="53" customFormat="1" ht="29.25" x14ac:dyDescent="0.25">
      <c r="A305" s="53">
        <v>1</v>
      </c>
      <c r="B305" s="109" t="s">
        <v>243</v>
      </c>
      <c r="C305" s="53">
        <v>1</v>
      </c>
      <c r="D305" s="21" t="s">
        <v>201</v>
      </c>
      <c r="E305" s="13"/>
      <c r="F305" s="398">
        <f>F299+F297</f>
        <v>550</v>
      </c>
      <c r="G305" s="2"/>
      <c r="H305" s="2"/>
      <c r="I305" s="2"/>
      <c r="J305" s="152"/>
    </row>
    <row r="306" spans="1:10" s="53" customFormat="1" x14ac:dyDescent="0.25">
      <c r="A306" s="53">
        <v>1</v>
      </c>
      <c r="B306" s="109" t="s">
        <v>243</v>
      </c>
      <c r="C306" s="53">
        <v>1</v>
      </c>
      <c r="D306" s="22" t="s">
        <v>109</v>
      </c>
      <c r="E306" s="13"/>
      <c r="F306" s="398">
        <f>F303+F305+F294*2.9+F296/4.2</f>
        <v>126863.9</v>
      </c>
      <c r="G306" s="2"/>
      <c r="H306" s="2"/>
      <c r="I306" s="2"/>
      <c r="J306" s="152"/>
    </row>
    <row r="307" spans="1:10" s="53" customFormat="1" x14ac:dyDescent="0.25">
      <c r="A307" s="53">
        <v>1</v>
      </c>
      <c r="B307" s="109" t="s">
        <v>243</v>
      </c>
      <c r="C307" s="53">
        <v>1</v>
      </c>
      <c r="D307" s="44" t="s">
        <v>7</v>
      </c>
      <c r="E307" s="68"/>
      <c r="F307" s="55"/>
      <c r="G307" s="2"/>
      <c r="H307" s="2"/>
      <c r="I307" s="2"/>
      <c r="J307" s="152"/>
    </row>
    <row r="308" spans="1:10" s="53" customFormat="1" x14ac:dyDescent="0.25">
      <c r="A308" s="53">
        <v>1</v>
      </c>
      <c r="B308" s="109" t="s">
        <v>243</v>
      </c>
      <c r="C308" s="53">
        <v>1</v>
      </c>
      <c r="D308" s="306" t="s">
        <v>18</v>
      </c>
      <c r="E308" s="54"/>
      <c r="F308" s="398"/>
      <c r="G308" s="143"/>
      <c r="H308" s="29"/>
      <c r="I308" s="29"/>
      <c r="J308" s="152"/>
    </row>
    <row r="309" spans="1:10" s="53" customFormat="1" x14ac:dyDescent="0.25">
      <c r="A309" s="53">
        <v>1</v>
      </c>
      <c r="B309" s="109" t="s">
        <v>243</v>
      </c>
      <c r="C309" s="53">
        <v>1</v>
      </c>
      <c r="D309" s="307" t="s">
        <v>21</v>
      </c>
      <c r="E309" s="54">
        <v>240</v>
      </c>
      <c r="F309" s="55">
        <v>355</v>
      </c>
      <c r="G309" s="47">
        <v>5</v>
      </c>
      <c r="H309" s="2">
        <f>ROUND(I309/E309,0)</f>
        <v>7</v>
      </c>
      <c r="I309" s="2">
        <f>ROUND(F309*G309,0)</f>
        <v>1775</v>
      </c>
      <c r="J309" s="152"/>
    </row>
    <row r="310" spans="1:10" s="53" customFormat="1" x14ac:dyDescent="0.25">
      <c r="A310" s="53">
        <v>1</v>
      </c>
      <c r="B310" s="109" t="s">
        <v>243</v>
      </c>
      <c r="C310" s="53">
        <v>1</v>
      </c>
      <c r="D310" s="479" t="s">
        <v>22</v>
      </c>
      <c r="E310" s="54">
        <v>240</v>
      </c>
      <c r="F310" s="55">
        <v>1000</v>
      </c>
      <c r="G310" s="47">
        <v>7.1</v>
      </c>
      <c r="H310" s="2">
        <f>ROUND(I310/E310,0)</f>
        <v>30</v>
      </c>
      <c r="I310" s="2">
        <f>ROUND(F310*G310,0)</f>
        <v>7100</v>
      </c>
      <c r="J310" s="152"/>
    </row>
    <row r="311" spans="1:10" s="53" customFormat="1" x14ac:dyDescent="0.25">
      <c r="A311" s="53">
        <v>1</v>
      </c>
      <c r="B311" s="109" t="s">
        <v>243</v>
      </c>
      <c r="C311" s="53">
        <v>1</v>
      </c>
      <c r="D311" s="308" t="s">
        <v>92</v>
      </c>
      <c r="E311" s="80"/>
      <c r="F311" s="459">
        <v>1355</v>
      </c>
      <c r="G311" s="143">
        <f>I311/F311</f>
        <v>6.5498154981549819</v>
      </c>
      <c r="H311" s="31">
        <f>H309+H310</f>
        <v>37</v>
      </c>
      <c r="I311" s="31">
        <f>I309+I310</f>
        <v>8875</v>
      </c>
      <c r="J311" s="152"/>
    </row>
    <row r="312" spans="1:10" x14ac:dyDescent="0.25">
      <c r="A312" s="53">
        <v>1</v>
      </c>
      <c r="B312" s="109" t="s">
        <v>243</v>
      </c>
      <c r="C312" s="53">
        <v>1</v>
      </c>
      <c r="D312" s="311" t="s">
        <v>86</v>
      </c>
      <c r="E312" s="481"/>
      <c r="F312" s="398">
        <f>F311</f>
        <v>1355</v>
      </c>
      <c r="G312" s="143">
        <f>I312/F312</f>
        <v>6.5498154981549819</v>
      </c>
      <c r="H312" s="29">
        <f t="shared" ref="H312:I312" si="6">H311</f>
        <v>37</v>
      </c>
      <c r="I312" s="29">
        <f t="shared" si="6"/>
        <v>8875</v>
      </c>
    </row>
    <row r="313" spans="1:10" s="486" customFormat="1" x14ac:dyDescent="0.25">
      <c r="A313" s="53">
        <v>1</v>
      </c>
      <c r="B313" s="109" t="s">
        <v>243</v>
      </c>
      <c r="C313" s="53">
        <v>1</v>
      </c>
      <c r="D313" s="482" t="s">
        <v>220</v>
      </c>
      <c r="E313" s="462"/>
      <c r="F313" s="483"/>
      <c r="G313" s="484"/>
      <c r="H313" s="484"/>
      <c r="I313" s="484"/>
      <c r="J313" s="485"/>
    </row>
    <row r="314" spans="1:10" hidden="1" x14ac:dyDescent="0.25">
      <c r="A314" s="53">
        <v>1</v>
      </c>
      <c r="B314" s="53"/>
      <c r="C314" s="53">
        <v>1</v>
      </c>
      <c r="D314" s="487"/>
      <c r="E314" s="488"/>
      <c r="F314" s="423"/>
      <c r="G314" s="424"/>
      <c r="H314" s="424"/>
      <c r="I314" s="424"/>
    </row>
    <row r="315" spans="1:10" ht="29.25" hidden="1" x14ac:dyDescent="0.25">
      <c r="A315" s="53">
        <v>1</v>
      </c>
      <c r="B315" s="109" t="s">
        <v>244</v>
      </c>
      <c r="C315" s="53">
        <v>1</v>
      </c>
      <c r="D315" s="674" t="s">
        <v>386</v>
      </c>
      <c r="E315" s="54"/>
      <c r="F315" s="453"/>
      <c r="G315" s="2"/>
      <c r="H315" s="2"/>
      <c r="I315" s="2"/>
    </row>
    <row r="316" spans="1:10" hidden="1" x14ac:dyDescent="0.25">
      <c r="A316" s="53">
        <v>1</v>
      </c>
      <c r="B316" s="109" t="s">
        <v>244</v>
      </c>
      <c r="C316" s="53">
        <v>1</v>
      </c>
      <c r="D316" s="395" t="s">
        <v>4</v>
      </c>
      <c r="E316" s="54"/>
      <c r="F316" s="55"/>
      <c r="G316" s="2"/>
      <c r="H316" s="2"/>
      <c r="I316" s="2"/>
    </row>
    <row r="317" spans="1:10" hidden="1" x14ac:dyDescent="0.25">
      <c r="A317" s="53">
        <v>1</v>
      </c>
      <c r="B317" s="109" t="s">
        <v>244</v>
      </c>
      <c r="C317" s="53">
        <v>1</v>
      </c>
      <c r="D317" s="396" t="s">
        <v>26</v>
      </c>
      <c r="E317" s="54">
        <v>300</v>
      </c>
      <c r="F317" s="435">
        <v>1125</v>
      </c>
      <c r="G317" s="47">
        <v>5.8</v>
      </c>
      <c r="H317" s="2">
        <f>ROUND(I317/E317,0)</f>
        <v>22</v>
      </c>
      <c r="I317" s="2">
        <f>ROUND(F317*G317,0)</f>
        <v>6525</v>
      </c>
    </row>
    <row r="318" spans="1:10" hidden="1" x14ac:dyDescent="0.25">
      <c r="A318" s="53">
        <v>1</v>
      </c>
      <c r="B318" s="109" t="s">
        <v>244</v>
      </c>
      <c r="C318" s="53">
        <v>1</v>
      </c>
      <c r="D318" s="396" t="s">
        <v>22</v>
      </c>
      <c r="E318" s="54">
        <v>300</v>
      </c>
      <c r="F318" s="435">
        <v>275</v>
      </c>
      <c r="G318" s="47">
        <v>6</v>
      </c>
      <c r="H318" s="2">
        <f t="shared" ref="H318:H319" si="7">ROUND(I318/E318,0)</f>
        <v>6</v>
      </c>
      <c r="I318" s="2">
        <f>ROUND(F318*G318,0)</f>
        <v>1650</v>
      </c>
    </row>
    <row r="319" spans="1:10" hidden="1" x14ac:dyDescent="0.25">
      <c r="A319" s="53"/>
      <c r="B319" s="109"/>
      <c r="C319" s="53">
        <v>1</v>
      </c>
      <c r="D319" s="396" t="s">
        <v>25</v>
      </c>
      <c r="E319" s="54">
        <v>74</v>
      </c>
      <c r="F319" s="394">
        <v>150</v>
      </c>
      <c r="G319" s="56">
        <v>14</v>
      </c>
      <c r="H319" s="2">
        <f t="shared" si="7"/>
        <v>28</v>
      </c>
      <c r="I319" s="2">
        <f>ROUND(F319*G319,0)</f>
        <v>2100</v>
      </c>
    </row>
    <row r="320" spans="1:10" hidden="1" x14ac:dyDescent="0.25">
      <c r="A320" s="53">
        <v>1</v>
      </c>
      <c r="B320" s="109" t="s">
        <v>244</v>
      </c>
      <c r="C320" s="53">
        <v>1</v>
      </c>
      <c r="D320" s="397" t="s">
        <v>5</v>
      </c>
      <c r="E320" s="68"/>
      <c r="F320" s="398">
        <f>SUM(F317:F319)</f>
        <v>1550</v>
      </c>
      <c r="G320" s="143">
        <f>I320/F320</f>
        <v>6.629032258064516</v>
      </c>
      <c r="H320" s="29">
        <f>H317+H318+H319</f>
        <v>56</v>
      </c>
      <c r="I320" s="29">
        <f>I317+I318+I319</f>
        <v>10275</v>
      </c>
    </row>
    <row r="321" spans="1:10" hidden="1" x14ac:dyDescent="0.25">
      <c r="A321" s="53">
        <v>1</v>
      </c>
      <c r="B321" s="109" t="s">
        <v>244</v>
      </c>
      <c r="C321" s="53">
        <v>1</v>
      </c>
      <c r="D321" s="73" t="s">
        <v>108</v>
      </c>
      <c r="E321" s="13"/>
      <c r="F321" s="55"/>
      <c r="G321" s="2"/>
      <c r="H321" s="2"/>
      <c r="I321" s="2"/>
    </row>
    <row r="322" spans="1:10" hidden="1" x14ac:dyDescent="0.25">
      <c r="A322" s="53"/>
      <c r="B322" s="109" t="s">
        <v>244</v>
      </c>
      <c r="C322" s="53">
        <v>1</v>
      </c>
      <c r="D322" s="14" t="s">
        <v>296</v>
      </c>
      <c r="E322" s="13"/>
      <c r="F322" s="398">
        <f>F324+F323+F329</f>
        <v>31536</v>
      </c>
      <c r="G322" s="2"/>
      <c r="H322" s="2"/>
      <c r="I322" s="2"/>
    </row>
    <row r="323" spans="1:10" hidden="1" x14ac:dyDescent="0.25">
      <c r="A323" s="53"/>
      <c r="B323" s="109" t="s">
        <v>244</v>
      </c>
      <c r="C323" s="53">
        <v>1</v>
      </c>
      <c r="D323" s="15" t="s">
        <v>297</v>
      </c>
      <c r="E323" s="13"/>
      <c r="F323" s="55"/>
      <c r="G323" s="2"/>
      <c r="H323" s="2"/>
      <c r="I323" s="2"/>
    </row>
    <row r="324" spans="1:10" ht="30" hidden="1" x14ac:dyDescent="0.25">
      <c r="A324" s="53"/>
      <c r="B324" s="109" t="s">
        <v>244</v>
      </c>
      <c r="C324" s="53">
        <v>1</v>
      </c>
      <c r="D324" s="16" t="s">
        <v>298</v>
      </c>
      <c r="E324" s="13"/>
      <c r="F324" s="55">
        <f>F325+F326/4</f>
        <v>29190</v>
      </c>
      <c r="G324" s="2"/>
      <c r="H324" s="2"/>
      <c r="I324" s="2"/>
    </row>
    <row r="325" spans="1:10" s="124" customFormat="1" hidden="1" x14ac:dyDescent="0.25">
      <c r="A325" s="104"/>
      <c r="B325" s="109" t="s">
        <v>244</v>
      </c>
      <c r="C325" s="53">
        <v>1</v>
      </c>
      <c r="D325" s="15" t="s">
        <v>299</v>
      </c>
      <c r="E325" s="13"/>
      <c r="F325" s="17">
        <v>28740</v>
      </c>
      <c r="G325" s="10"/>
      <c r="H325" s="10"/>
      <c r="I325" s="10"/>
      <c r="J325" s="52"/>
    </row>
    <row r="326" spans="1:10" ht="30" hidden="1" x14ac:dyDescent="0.25">
      <c r="A326" s="53"/>
      <c r="B326" s="109" t="s">
        <v>244</v>
      </c>
      <c r="C326" s="53">
        <v>1</v>
      </c>
      <c r="D326" s="15" t="s">
        <v>300</v>
      </c>
      <c r="E326" s="13"/>
      <c r="F326" s="55">
        <v>1800</v>
      </c>
      <c r="G326" s="2"/>
      <c r="H326" s="2"/>
      <c r="I326" s="2"/>
    </row>
    <row r="327" spans="1:10" ht="45" hidden="1" x14ac:dyDescent="0.25">
      <c r="A327" s="53"/>
      <c r="B327" s="109" t="s">
        <v>244</v>
      </c>
      <c r="C327" s="53">
        <v>1</v>
      </c>
      <c r="D327" s="15" t="s">
        <v>301</v>
      </c>
      <c r="E327" s="13"/>
      <c r="F327" s="55"/>
      <c r="G327" s="2"/>
      <c r="H327" s="2"/>
      <c r="I327" s="2"/>
    </row>
    <row r="328" spans="1:10" ht="45" hidden="1" x14ac:dyDescent="0.25">
      <c r="A328" s="53"/>
      <c r="B328" s="109" t="s">
        <v>244</v>
      </c>
      <c r="C328" s="53">
        <v>1</v>
      </c>
      <c r="D328" s="15" t="s">
        <v>309</v>
      </c>
      <c r="E328" s="13"/>
      <c r="F328" s="55"/>
      <c r="G328" s="2"/>
      <c r="H328" s="2"/>
      <c r="I328" s="2"/>
    </row>
    <row r="329" spans="1:10" ht="45" hidden="1" x14ac:dyDescent="0.25">
      <c r="A329" s="53"/>
      <c r="B329" s="109" t="s">
        <v>244</v>
      </c>
      <c r="C329" s="53">
        <v>1</v>
      </c>
      <c r="D329" s="18" t="s">
        <v>310</v>
      </c>
      <c r="E329" s="13"/>
      <c r="F329" s="55">
        <v>2346</v>
      </c>
      <c r="G329" s="2"/>
      <c r="H329" s="2"/>
      <c r="I329" s="2"/>
    </row>
    <row r="330" spans="1:10" hidden="1" x14ac:dyDescent="0.25">
      <c r="A330" s="53"/>
      <c r="B330" s="109" t="s">
        <v>244</v>
      </c>
      <c r="C330" s="53">
        <v>1</v>
      </c>
      <c r="D330" s="14" t="s">
        <v>303</v>
      </c>
      <c r="E330" s="13"/>
      <c r="F330" s="55">
        <f>F333/9.4+F331</f>
        <v>9943.4680851063822</v>
      </c>
      <c r="G330" s="2"/>
      <c r="H330" s="2"/>
      <c r="I330" s="2"/>
    </row>
    <row r="331" spans="1:10" hidden="1" x14ac:dyDescent="0.25">
      <c r="A331" s="53"/>
      <c r="B331" s="109" t="s">
        <v>244</v>
      </c>
      <c r="C331" s="53">
        <v>1</v>
      </c>
      <c r="D331" s="14" t="s">
        <v>304</v>
      </c>
      <c r="E331" s="13"/>
      <c r="F331" s="55">
        <v>9424</v>
      </c>
      <c r="G331" s="2"/>
      <c r="H331" s="2"/>
      <c r="I331" s="2"/>
    </row>
    <row r="332" spans="1:10" hidden="1" x14ac:dyDescent="0.25">
      <c r="A332" s="53"/>
      <c r="B332" s="109" t="s">
        <v>244</v>
      </c>
      <c r="C332" s="53">
        <v>1</v>
      </c>
      <c r="D332" s="15" t="s">
        <v>305</v>
      </c>
      <c r="E332" s="13"/>
      <c r="F332" s="55">
        <f>F333/9.4</f>
        <v>519.468085106383</v>
      </c>
      <c r="G332" s="2"/>
      <c r="H332" s="2"/>
      <c r="I332" s="2"/>
    </row>
    <row r="333" spans="1:10" hidden="1" x14ac:dyDescent="0.25">
      <c r="A333" s="53"/>
      <c r="B333" s="109" t="s">
        <v>244</v>
      </c>
      <c r="C333" s="53">
        <v>1</v>
      </c>
      <c r="D333" s="42" t="s">
        <v>314</v>
      </c>
      <c r="E333" s="13"/>
      <c r="F333" s="55">
        <v>4883</v>
      </c>
      <c r="G333" s="2"/>
      <c r="H333" s="2"/>
      <c r="I333" s="2"/>
    </row>
    <row r="334" spans="1:10" ht="29.25" hidden="1" x14ac:dyDescent="0.25">
      <c r="A334" s="53"/>
      <c r="B334" s="109" t="s">
        <v>244</v>
      </c>
      <c r="C334" s="53">
        <v>1</v>
      </c>
      <c r="D334" s="14" t="s">
        <v>306</v>
      </c>
      <c r="E334" s="13"/>
      <c r="F334" s="55"/>
      <c r="G334" s="2"/>
      <c r="H334" s="2"/>
      <c r="I334" s="2"/>
    </row>
    <row r="335" spans="1:10" hidden="1" x14ac:dyDescent="0.25">
      <c r="A335" s="53"/>
      <c r="B335" s="109" t="s">
        <v>244</v>
      </c>
      <c r="C335" s="53">
        <v>1</v>
      </c>
      <c r="D335" s="19" t="s">
        <v>115</v>
      </c>
      <c r="E335" s="13"/>
      <c r="F335" s="55"/>
      <c r="G335" s="2"/>
      <c r="H335" s="2"/>
      <c r="I335" s="2"/>
    </row>
    <row r="336" spans="1:10" ht="57.75" hidden="1" x14ac:dyDescent="0.25">
      <c r="A336" s="53"/>
      <c r="B336" s="109" t="s">
        <v>244</v>
      </c>
      <c r="C336" s="53">
        <v>1</v>
      </c>
      <c r="D336" s="21" t="s">
        <v>312</v>
      </c>
      <c r="E336" s="13"/>
      <c r="F336" s="55">
        <v>250</v>
      </c>
      <c r="G336" s="2"/>
      <c r="H336" s="2"/>
      <c r="I336" s="2"/>
    </row>
    <row r="337" spans="1:10" s="53" customFormat="1" hidden="1" x14ac:dyDescent="0.25">
      <c r="B337" s="109"/>
      <c r="C337" s="53">
        <v>1</v>
      </c>
      <c r="D337" s="20" t="s">
        <v>158</v>
      </c>
      <c r="E337" s="13"/>
      <c r="F337" s="398">
        <f>F338+F339</f>
        <v>1600</v>
      </c>
      <c r="G337" s="2"/>
      <c r="H337" s="2"/>
      <c r="I337" s="2"/>
      <c r="J337" s="52"/>
    </row>
    <row r="338" spans="1:10" s="58" customFormat="1" ht="60" hidden="1" x14ac:dyDescent="0.25">
      <c r="A338" s="109"/>
      <c r="B338" s="109"/>
      <c r="C338" s="53">
        <v>1</v>
      </c>
      <c r="D338" s="126" t="s">
        <v>288</v>
      </c>
      <c r="E338" s="13"/>
      <c r="F338" s="55">
        <v>1000</v>
      </c>
      <c r="G338" s="465"/>
      <c r="H338" s="465"/>
      <c r="I338" s="29"/>
      <c r="J338" s="52"/>
    </row>
    <row r="339" spans="1:10" s="58" customFormat="1" ht="39" hidden="1" customHeight="1" x14ac:dyDescent="0.25">
      <c r="A339" s="489"/>
      <c r="B339" s="109"/>
      <c r="C339" s="53">
        <v>1</v>
      </c>
      <c r="D339" s="126" t="s">
        <v>339</v>
      </c>
      <c r="E339" s="13"/>
      <c r="F339" s="55">
        <v>600</v>
      </c>
      <c r="G339" s="465"/>
      <c r="H339" s="465"/>
      <c r="I339" s="29"/>
      <c r="J339" s="52"/>
    </row>
    <row r="340" spans="1:10" hidden="1" x14ac:dyDescent="0.25">
      <c r="A340" s="53"/>
      <c r="B340" s="109" t="s">
        <v>244</v>
      </c>
      <c r="C340" s="53">
        <v>1</v>
      </c>
      <c r="D340" s="21" t="s">
        <v>198</v>
      </c>
      <c r="E340" s="13"/>
      <c r="F340" s="398">
        <f>F322</f>
        <v>31536</v>
      </c>
      <c r="G340" s="2"/>
      <c r="H340" s="2"/>
      <c r="I340" s="2"/>
    </row>
    <row r="341" spans="1:10" hidden="1" x14ac:dyDescent="0.25">
      <c r="A341" s="53">
        <v>1</v>
      </c>
      <c r="B341" s="109" t="s">
        <v>244</v>
      </c>
      <c r="C341" s="53">
        <v>1</v>
      </c>
      <c r="D341" s="21" t="s">
        <v>200</v>
      </c>
      <c r="E341" s="13"/>
      <c r="F341" s="398">
        <f>F330</f>
        <v>9943.4680851063822</v>
      </c>
      <c r="G341" s="2"/>
      <c r="H341" s="2"/>
      <c r="I341" s="2"/>
    </row>
    <row r="342" spans="1:10" ht="29.25" hidden="1" x14ac:dyDescent="0.25">
      <c r="A342" s="53">
        <v>1</v>
      </c>
      <c r="B342" s="109" t="s">
        <v>244</v>
      </c>
      <c r="C342" s="53">
        <v>1</v>
      </c>
      <c r="D342" s="21" t="s">
        <v>201</v>
      </c>
      <c r="E342" s="24"/>
      <c r="F342" s="398">
        <f>F336+F334</f>
        <v>250</v>
      </c>
      <c r="G342" s="24"/>
      <c r="H342" s="24"/>
      <c r="I342" s="24"/>
    </row>
    <row r="343" spans="1:10" hidden="1" x14ac:dyDescent="0.25">
      <c r="A343" s="53">
        <v>1</v>
      </c>
      <c r="B343" s="109" t="s">
        <v>244</v>
      </c>
      <c r="C343" s="53">
        <v>1</v>
      </c>
      <c r="D343" s="22" t="s">
        <v>109</v>
      </c>
      <c r="E343" s="13"/>
      <c r="F343" s="398">
        <f>F340+F331*2.9+F333/4.2+F342</f>
        <v>60278.219047619044</v>
      </c>
      <c r="G343" s="2"/>
      <c r="H343" s="2"/>
      <c r="I343" s="2"/>
    </row>
    <row r="344" spans="1:10" hidden="1" x14ac:dyDescent="0.25">
      <c r="A344" s="53">
        <v>1</v>
      </c>
      <c r="B344" s="109" t="s">
        <v>244</v>
      </c>
      <c r="C344" s="53">
        <v>1</v>
      </c>
      <c r="D344" s="44" t="s">
        <v>7</v>
      </c>
      <c r="E344" s="68"/>
      <c r="F344" s="55"/>
      <c r="G344" s="2"/>
      <c r="H344" s="2"/>
      <c r="I344" s="2"/>
    </row>
    <row r="345" spans="1:10" hidden="1" x14ac:dyDescent="0.25">
      <c r="A345" s="53">
        <v>1</v>
      </c>
      <c r="B345" s="109" t="s">
        <v>244</v>
      </c>
      <c r="C345" s="53">
        <v>1</v>
      </c>
      <c r="D345" s="306" t="s">
        <v>18</v>
      </c>
      <c r="E345" s="68"/>
      <c r="F345" s="55"/>
      <c r="G345" s="2"/>
      <c r="H345" s="2"/>
      <c r="I345" s="2"/>
    </row>
    <row r="346" spans="1:10" hidden="1" x14ac:dyDescent="0.25">
      <c r="A346" s="53">
        <v>1</v>
      </c>
      <c r="B346" s="109" t="s">
        <v>244</v>
      </c>
      <c r="C346" s="53">
        <v>1</v>
      </c>
      <c r="D346" s="439" t="s">
        <v>21</v>
      </c>
      <c r="E346" s="24">
        <v>240</v>
      </c>
      <c r="F346" s="433">
        <v>144</v>
      </c>
      <c r="G346" s="131">
        <v>6</v>
      </c>
      <c r="H346" s="2">
        <f>ROUND(I346/E346,0)</f>
        <v>4</v>
      </c>
      <c r="I346" s="2">
        <f>ROUND(F346*G346,0)</f>
        <v>864</v>
      </c>
    </row>
    <row r="347" spans="1:10" hidden="1" x14ac:dyDescent="0.25">
      <c r="A347" s="53">
        <v>1</v>
      </c>
      <c r="B347" s="109" t="s">
        <v>244</v>
      </c>
      <c r="C347" s="53">
        <v>1</v>
      </c>
      <c r="D347" s="439" t="s">
        <v>22</v>
      </c>
      <c r="E347" s="24">
        <v>240</v>
      </c>
      <c r="F347" s="433">
        <v>360</v>
      </c>
      <c r="G347" s="131">
        <v>7</v>
      </c>
      <c r="H347" s="2">
        <f>ROUND(I347/E347,0)</f>
        <v>11</v>
      </c>
      <c r="I347" s="2">
        <f>ROUND(F347*G347,0)</f>
        <v>2520</v>
      </c>
    </row>
    <row r="348" spans="1:10" hidden="1" x14ac:dyDescent="0.25">
      <c r="A348" s="53">
        <v>1</v>
      </c>
      <c r="B348" s="109" t="s">
        <v>244</v>
      </c>
      <c r="C348" s="53">
        <v>1</v>
      </c>
      <c r="D348" s="308" t="s">
        <v>92</v>
      </c>
      <c r="E348" s="54"/>
      <c r="F348" s="459">
        <f>SUM(F346:F347)</f>
        <v>504</v>
      </c>
      <c r="G348" s="143">
        <f>I348/F348</f>
        <v>6.7142857142857144</v>
      </c>
      <c r="H348" s="31">
        <f>H346+H347</f>
        <v>15</v>
      </c>
      <c r="I348" s="31">
        <f>I346+I347</f>
        <v>3384</v>
      </c>
    </row>
    <row r="349" spans="1:10" hidden="1" x14ac:dyDescent="0.25">
      <c r="A349" s="53">
        <v>1</v>
      </c>
      <c r="B349" s="109" t="s">
        <v>244</v>
      </c>
      <c r="C349" s="53">
        <v>1</v>
      </c>
      <c r="D349" s="311" t="s">
        <v>86</v>
      </c>
      <c r="E349" s="69"/>
      <c r="F349" s="490">
        <f>F348</f>
        <v>504</v>
      </c>
      <c r="G349" s="143">
        <f>I349/F349</f>
        <v>6.7142857142857144</v>
      </c>
      <c r="H349" s="302">
        <f>H348</f>
        <v>15</v>
      </c>
      <c r="I349" s="302">
        <f>I348</f>
        <v>3384</v>
      </c>
    </row>
    <row r="350" spans="1:10" ht="15.75" hidden="1" thickBot="1" x14ac:dyDescent="0.3">
      <c r="A350" s="53">
        <v>1</v>
      </c>
      <c r="B350" s="109" t="s">
        <v>244</v>
      </c>
      <c r="C350" s="53">
        <v>1</v>
      </c>
      <c r="D350" s="448" t="s">
        <v>220</v>
      </c>
      <c r="E350" s="449"/>
      <c r="F350" s="491"/>
      <c r="G350" s="418"/>
      <c r="H350" s="418"/>
      <c r="I350" s="418"/>
    </row>
    <row r="351" spans="1:10" hidden="1" x14ac:dyDescent="0.25">
      <c r="A351" s="53">
        <v>1</v>
      </c>
      <c r="B351" s="53"/>
      <c r="C351" s="53">
        <v>1</v>
      </c>
      <c r="D351" s="487"/>
      <c r="E351" s="488"/>
      <c r="F351" s="423"/>
      <c r="G351" s="424"/>
      <c r="H351" s="424"/>
      <c r="I351" s="424"/>
    </row>
    <row r="352" spans="1:10" ht="29.25" x14ac:dyDescent="0.25">
      <c r="A352" s="53">
        <v>1</v>
      </c>
      <c r="B352" s="109" t="s">
        <v>245</v>
      </c>
      <c r="C352" s="53">
        <v>1</v>
      </c>
      <c r="D352" s="674" t="s">
        <v>387</v>
      </c>
      <c r="E352" s="54"/>
      <c r="F352" s="55"/>
      <c r="G352" s="2"/>
      <c r="H352" s="2"/>
      <c r="I352" s="2"/>
    </row>
    <row r="353" spans="1:10" x14ac:dyDescent="0.25">
      <c r="A353" s="53">
        <v>1</v>
      </c>
      <c r="B353" s="109" t="s">
        <v>245</v>
      </c>
      <c r="C353" s="53">
        <v>1</v>
      </c>
      <c r="D353" s="395" t="s">
        <v>4</v>
      </c>
      <c r="E353" s="54"/>
      <c r="F353" s="55"/>
      <c r="G353" s="2"/>
      <c r="H353" s="2"/>
      <c r="I353" s="2"/>
    </row>
    <row r="354" spans="1:10" x14ac:dyDescent="0.25">
      <c r="A354" s="53">
        <v>1</v>
      </c>
      <c r="B354" s="109" t="s">
        <v>245</v>
      </c>
      <c r="C354" s="53">
        <v>1</v>
      </c>
      <c r="D354" s="396" t="s">
        <v>26</v>
      </c>
      <c r="E354" s="54">
        <v>300</v>
      </c>
      <c r="F354" s="55">
        <f>1470-15</f>
        <v>1455</v>
      </c>
      <c r="G354" s="47">
        <v>5.9</v>
      </c>
      <c r="H354" s="2">
        <f>ROUND(I354/E354,0)</f>
        <v>29</v>
      </c>
      <c r="I354" s="2">
        <f>ROUND(F354*G354,0)</f>
        <v>8585</v>
      </c>
    </row>
    <row r="355" spans="1:10" x14ac:dyDescent="0.25">
      <c r="A355" s="53">
        <v>1</v>
      </c>
      <c r="B355" s="109" t="s">
        <v>245</v>
      </c>
      <c r="C355" s="53">
        <v>1</v>
      </c>
      <c r="D355" s="396" t="s">
        <v>22</v>
      </c>
      <c r="E355" s="54">
        <v>340</v>
      </c>
      <c r="F355" s="55">
        <v>646</v>
      </c>
      <c r="G355" s="47">
        <v>5</v>
      </c>
      <c r="H355" s="2">
        <f>ROUND(I355/E355,0)</f>
        <v>10</v>
      </c>
      <c r="I355" s="2">
        <f>ROUND(F355*G355,0)</f>
        <v>3230</v>
      </c>
    </row>
    <row r="356" spans="1:10" x14ac:dyDescent="0.25">
      <c r="A356" s="53">
        <v>1</v>
      </c>
      <c r="B356" s="109" t="s">
        <v>245</v>
      </c>
      <c r="C356" s="53">
        <v>1</v>
      </c>
      <c r="D356" s="397" t="s">
        <v>5</v>
      </c>
      <c r="E356" s="68"/>
      <c r="F356" s="398">
        <f>SUM(F354:F355)</f>
        <v>2101</v>
      </c>
      <c r="G356" s="143">
        <f>I356/F356</f>
        <v>5.6235126130414086</v>
      </c>
      <c r="H356" s="29">
        <f>H354+H355</f>
        <v>39</v>
      </c>
      <c r="I356" s="29">
        <f>I354+I355</f>
        <v>11815</v>
      </c>
    </row>
    <row r="357" spans="1:10" x14ac:dyDescent="0.25">
      <c r="A357" s="53">
        <v>1</v>
      </c>
      <c r="B357" s="109" t="s">
        <v>245</v>
      </c>
      <c r="C357" s="53">
        <v>1</v>
      </c>
      <c r="D357" s="73" t="s">
        <v>108</v>
      </c>
      <c r="E357" s="13"/>
      <c r="F357" s="55"/>
      <c r="G357" s="143"/>
      <c r="H357" s="29"/>
      <c r="I357" s="29"/>
    </row>
    <row r="358" spans="1:10" x14ac:dyDescent="0.25">
      <c r="A358" s="53"/>
      <c r="B358" s="109" t="s">
        <v>245</v>
      </c>
      <c r="C358" s="53">
        <v>1</v>
      </c>
      <c r="D358" s="14" t="s">
        <v>296</v>
      </c>
      <c r="E358" s="13"/>
      <c r="F358" s="398">
        <f>F359+F360+F365+F364</f>
        <v>21275</v>
      </c>
      <c r="G358" s="143"/>
      <c r="H358" s="29"/>
      <c r="I358" s="29"/>
    </row>
    <row r="359" spans="1:10" x14ac:dyDescent="0.25">
      <c r="A359" s="53"/>
      <c r="B359" s="109" t="s">
        <v>245</v>
      </c>
      <c r="C359" s="53">
        <v>1</v>
      </c>
      <c r="D359" s="15" t="s">
        <v>297</v>
      </c>
      <c r="E359" s="13"/>
      <c r="F359" s="55"/>
      <c r="G359" s="143"/>
      <c r="H359" s="29"/>
      <c r="I359" s="29"/>
    </row>
    <row r="360" spans="1:10" ht="30" x14ac:dyDescent="0.25">
      <c r="A360" s="53"/>
      <c r="B360" s="109" t="s">
        <v>245</v>
      </c>
      <c r="C360" s="53">
        <v>1</v>
      </c>
      <c r="D360" s="16" t="s">
        <v>298</v>
      </c>
      <c r="E360" s="13"/>
      <c r="F360" s="55">
        <f>F361+F362/4</f>
        <v>18625</v>
      </c>
      <c r="G360" s="143"/>
      <c r="H360" s="43"/>
      <c r="I360" s="43"/>
    </row>
    <row r="361" spans="1:10" s="124" customFormat="1" x14ac:dyDescent="0.25">
      <c r="A361" s="104"/>
      <c r="B361" s="109" t="s">
        <v>245</v>
      </c>
      <c r="C361" s="53">
        <v>1</v>
      </c>
      <c r="D361" s="15" t="s">
        <v>299</v>
      </c>
      <c r="E361" s="13"/>
      <c r="F361" s="17">
        <v>18300</v>
      </c>
      <c r="G361" s="10"/>
      <c r="H361" s="10"/>
      <c r="I361" s="10"/>
      <c r="J361" s="52"/>
    </row>
    <row r="362" spans="1:10" ht="30" x14ac:dyDescent="0.25">
      <c r="A362" s="53"/>
      <c r="B362" s="109" t="s">
        <v>245</v>
      </c>
      <c r="C362" s="53">
        <v>1</v>
      </c>
      <c r="D362" s="15" t="s">
        <v>300</v>
      </c>
      <c r="E362" s="13"/>
      <c r="F362" s="55">
        <v>1300</v>
      </c>
      <c r="G362" s="143"/>
      <c r="H362" s="29"/>
      <c r="I362" s="29"/>
    </row>
    <row r="363" spans="1:10" ht="45" x14ac:dyDescent="0.25">
      <c r="A363" s="53"/>
      <c r="B363" s="109" t="s">
        <v>245</v>
      </c>
      <c r="C363" s="53">
        <v>1</v>
      </c>
      <c r="D363" s="15" t="s">
        <v>301</v>
      </c>
      <c r="E363" s="13"/>
      <c r="F363" s="55"/>
      <c r="G363" s="143"/>
      <c r="H363" s="29"/>
      <c r="I363" s="29"/>
    </row>
    <row r="364" spans="1:10" ht="45" x14ac:dyDescent="0.25">
      <c r="A364" s="53"/>
      <c r="B364" s="109" t="s">
        <v>245</v>
      </c>
      <c r="C364" s="53">
        <v>1</v>
      </c>
      <c r="D364" s="15" t="s">
        <v>309</v>
      </c>
      <c r="E364" s="13"/>
      <c r="F364" s="55"/>
      <c r="G364" s="143"/>
      <c r="H364" s="29"/>
      <c r="I364" s="29"/>
    </row>
    <row r="365" spans="1:10" ht="45" x14ac:dyDescent="0.25">
      <c r="A365" s="53"/>
      <c r="B365" s="109" t="s">
        <v>245</v>
      </c>
      <c r="C365" s="53">
        <v>1</v>
      </c>
      <c r="D365" s="18" t="s">
        <v>310</v>
      </c>
      <c r="E365" s="13"/>
      <c r="F365" s="55">
        <v>2650</v>
      </c>
      <c r="G365" s="143"/>
      <c r="H365" s="29"/>
      <c r="I365" s="29"/>
    </row>
    <row r="366" spans="1:10" x14ac:dyDescent="0.25">
      <c r="A366" s="53"/>
      <c r="B366" s="109" t="s">
        <v>245</v>
      </c>
      <c r="C366" s="53">
        <v>1</v>
      </c>
      <c r="D366" s="14" t="s">
        <v>303</v>
      </c>
      <c r="E366" s="13"/>
      <c r="F366" s="55">
        <f>F367+F369/9.4</f>
        <v>7499.5744680851067</v>
      </c>
      <c r="G366" s="143"/>
      <c r="H366" s="29"/>
      <c r="I366" s="29"/>
    </row>
    <row r="367" spans="1:10" x14ac:dyDescent="0.25">
      <c r="A367" s="53"/>
      <c r="B367" s="109" t="s">
        <v>245</v>
      </c>
      <c r="C367" s="53">
        <v>1</v>
      </c>
      <c r="D367" s="14" t="s">
        <v>304</v>
      </c>
      <c r="E367" s="13"/>
      <c r="F367" s="55">
        <v>7000</v>
      </c>
      <c r="G367" s="143"/>
      <c r="H367" s="29"/>
      <c r="I367" s="29"/>
    </row>
    <row r="368" spans="1:10" x14ac:dyDescent="0.25">
      <c r="A368" s="53"/>
      <c r="B368" s="109" t="s">
        <v>245</v>
      </c>
      <c r="C368" s="53">
        <v>1</v>
      </c>
      <c r="D368" s="15" t="s">
        <v>305</v>
      </c>
      <c r="E368" s="13"/>
      <c r="F368" s="55">
        <f>F369/9.4</f>
        <v>499.57446808510639</v>
      </c>
      <c r="G368" s="143"/>
      <c r="H368" s="29"/>
      <c r="I368" s="29"/>
    </row>
    <row r="369" spans="1:10" x14ac:dyDescent="0.25">
      <c r="A369" s="53"/>
      <c r="B369" s="109" t="s">
        <v>245</v>
      </c>
      <c r="C369" s="53">
        <v>1</v>
      </c>
      <c r="D369" s="42" t="s">
        <v>314</v>
      </c>
      <c r="E369" s="13"/>
      <c r="F369" s="55">
        <v>4696</v>
      </c>
      <c r="G369" s="143"/>
      <c r="H369" s="29"/>
      <c r="I369" s="29"/>
    </row>
    <row r="370" spans="1:10" ht="29.25" x14ac:dyDescent="0.25">
      <c r="A370" s="53"/>
      <c r="B370" s="109" t="s">
        <v>245</v>
      </c>
      <c r="C370" s="53">
        <v>1</v>
      </c>
      <c r="D370" s="14" t="s">
        <v>306</v>
      </c>
      <c r="E370" s="13"/>
      <c r="F370" s="55"/>
      <c r="G370" s="143"/>
      <c r="H370" s="29"/>
      <c r="I370" s="29"/>
    </row>
    <row r="371" spans="1:10" x14ac:dyDescent="0.25">
      <c r="A371" s="53"/>
      <c r="B371" s="109" t="s">
        <v>245</v>
      </c>
      <c r="C371" s="53">
        <v>1</v>
      </c>
      <c r="D371" s="19" t="s">
        <v>115</v>
      </c>
      <c r="E371" s="13"/>
      <c r="F371" s="55"/>
      <c r="G371" s="143"/>
      <c r="H371" s="29"/>
      <c r="I371" s="29"/>
    </row>
    <row r="372" spans="1:10" ht="57.75" x14ac:dyDescent="0.25">
      <c r="A372" s="53"/>
      <c r="B372" s="109" t="s">
        <v>245</v>
      </c>
      <c r="C372" s="53">
        <v>1</v>
      </c>
      <c r="D372" s="21" t="s">
        <v>312</v>
      </c>
      <c r="E372" s="13"/>
      <c r="F372" s="55">
        <v>170</v>
      </c>
      <c r="G372" s="143"/>
      <c r="H372" s="29"/>
      <c r="I372" s="29"/>
    </row>
    <row r="373" spans="1:10" x14ac:dyDescent="0.25">
      <c r="A373" s="53">
        <v>1</v>
      </c>
      <c r="B373" s="109" t="s">
        <v>245</v>
      </c>
      <c r="C373" s="53">
        <v>1</v>
      </c>
      <c r="D373" s="20" t="s">
        <v>158</v>
      </c>
      <c r="E373" s="13"/>
      <c r="F373" s="492">
        <f>F374+F375</f>
        <v>1350</v>
      </c>
      <c r="G373" s="2"/>
      <c r="H373" s="2"/>
      <c r="I373" s="2"/>
    </row>
    <row r="374" spans="1:10" ht="45" x14ac:dyDescent="0.25">
      <c r="A374" s="53">
        <v>1</v>
      </c>
      <c r="B374" s="109" t="s">
        <v>245</v>
      </c>
      <c r="C374" s="53">
        <v>1</v>
      </c>
      <c r="D374" s="493" t="s">
        <v>355</v>
      </c>
      <c r="E374" s="13"/>
      <c r="F374" s="55">
        <v>200</v>
      </c>
      <c r="G374" s="2"/>
      <c r="H374" s="2"/>
      <c r="I374" s="2"/>
    </row>
    <row r="375" spans="1:10" s="58" customFormat="1" ht="45" x14ac:dyDescent="0.25">
      <c r="A375" s="109"/>
      <c r="B375" s="109"/>
      <c r="C375" s="53">
        <v>1</v>
      </c>
      <c r="D375" s="126" t="s">
        <v>339</v>
      </c>
      <c r="E375" s="13"/>
      <c r="F375" s="55">
        <v>1150</v>
      </c>
      <c r="G375" s="465"/>
      <c r="H375" s="465"/>
      <c r="I375" s="29"/>
      <c r="J375" s="52"/>
    </row>
    <row r="376" spans="1:10" x14ac:dyDescent="0.25">
      <c r="A376" s="53"/>
      <c r="B376" s="109" t="s">
        <v>245</v>
      </c>
      <c r="C376" s="53">
        <v>1</v>
      </c>
      <c r="D376" s="21" t="s">
        <v>198</v>
      </c>
      <c r="E376" s="13"/>
      <c r="F376" s="398">
        <f>F358</f>
        <v>21275</v>
      </c>
      <c r="G376" s="2"/>
      <c r="H376" s="2"/>
      <c r="I376" s="2"/>
    </row>
    <row r="377" spans="1:10" x14ac:dyDescent="0.25">
      <c r="A377" s="53"/>
      <c r="B377" s="109" t="s">
        <v>245</v>
      </c>
      <c r="C377" s="53">
        <v>1</v>
      </c>
      <c r="D377" s="21" t="s">
        <v>200</v>
      </c>
      <c r="E377" s="13"/>
      <c r="F377" s="398">
        <f>F366</f>
        <v>7499.5744680851067</v>
      </c>
      <c r="G377" s="2"/>
      <c r="H377" s="2"/>
      <c r="I377" s="2"/>
    </row>
    <row r="378" spans="1:10" ht="29.25" x14ac:dyDescent="0.25">
      <c r="A378" s="53"/>
      <c r="B378" s="109" t="s">
        <v>245</v>
      </c>
      <c r="C378" s="53">
        <v>1</v>
      </c>
      <c r="D378" s="21" t="s">
        <v>201</v>
      </c>
      <c r="E378" s="13"/>
      <c r="F378" s="398">
        <f>F372+F370</f>
        <v>170</v>
      </c>
      <c r="G378" s="2"/>
      <c r="H378" s="2"/>
      <c r="I378" s="2"/>
    </row>
    <row r="379" spans="1:10" x14ac:dyDescent="0.25">
      <c r="A379" s="53"/>
      <c r="B379" s="109" t="s">
        <v>245</v>
      </c>
      <c r="C379" s="53">
        <v>1</v>
      </c>
      <c r="D379" s="22" t="s">
        <v>109</v>
      </c>
      <c r="E379" s="13"/>
      <c r="F379" s="398">
        <f>F376+F378+F367*2.9+F369/4.2</f>
        <v>42863.095238095237</v>
      </c>
      <c r="G379" s="2"/>
      <c r="H379" s="2"/>
      <c r="I379" s="2"/>
    </row>
    <row r="380" spans="1:10" x14ac:dyDescent="0.25">
      <c r="A380" s="53">
        <v>1</v>
      </c>
      <c r="B380" s="109" t="s">
        <v>245</v>
      </c>
      <c r="C380" s="53">
        <v>1</v>
      </c>
      <c r="D380" s="44" t="s">
        <v>7</v>
      </c>
      <c r="E380" s="68"/>
      <c r="F380" s="55"/>
      <c r="G380" s="2"/>
      <c r="H380" s="2"/>
      <c r="I380" s="2"/>
    </row>
    <row r="381" spans="1:10" x14ac:dyDescent="0.25">
      <c r="A381" s="53">
        <v>1</v>
      </c>
      <c r="B381" s="109" t="s">
        <v>245</v>
      </c>
      <c r="C381" s="53">
        <v>1</v>
      </c>
      <c r="D381" s="306" t="s">
        <v>18</v>
      </c>
      <c r="E381" s="68"/>
      <c r="F381" s="55"/>
      <c r="G381" s="2"/>
      <c r="H381" s="2"/>
      <c r="I381" s="2"/>
    </row>
    <row r="382" spans="1:10" x14ac:dyDescent="0.25">
      <c r="A382" s="53">
        <v>1</v>
      </c>
      <c r="B382" s="109" t="s">
        <v>245</v>
      </c>
      <c r="C382" s="53">
        <v>1</v>
      </c>
      <c r="D382" s="439" t="s">
        <v>21</v>
      </c>
      <c r="E382" s="54">
        <v>240</v>
      </c>
      <c r="F382" s="55">
        <v>128</v>
      </c>
      <c r="G382" s="47">
        <v>3</v>
      </c>
      <c r="H382" s="2">
        <f>ROUND(I382/E382,0)</f>
        <v>2</v>
      </c>
      <c r="I382" s="2">
        <f>ROUND(F382*G382,0)</f>
        <v>384</v>
      </c>
    </row>
    <row r="383" spans="1:10" x14ac:dyDescent="0.25">
      <c r="A383" s="53">
        <v>1</v>
      </c>
      <c r="B383" s="109" t="s">
        <v>245</v>
      </c>
      <c r="C383" s="53">
        <v>1</v>
      </c>
      <c r="D383" s="439" t="s">
        <v>22</v>
      </c>
      <c r="E383" s="54">
        <v>240</v>
      </c>
      <c r="F383" s="55">
        <v>310</v>
      </c>
      <c r="G383" s="56">
        <v>7</v>
      </c>
      <c r="H383" s="2">
        <f>ROUND(I383/E383,0)</f>
        <v>9</v>
      </c>
      <c r="I383" s="2">
        <f>ROUND(F383*G383,0)</f>
        <v>2170</v>
      </c>
    </row>
    <row r="384" spans="1:10" x14ac:dyDescent="0.25">
      <c r="A384" s="53">
        <v>1</v>
      </c>
      <c r="B384" s="109" t="s">
        <v>245</v>
      </c>
      <c r="C384" s="53">
        <v>1</v>
      </c>
      <c r="D384" s="308" t="s">
        <v>92</v>
      </c>
      <c r="E384" s="54"/>
      <c r="F384" s="459">
        <f>SUM(F382:F383)</f>
        <v>438</v>
      </c>
      <c r="G384" s="143">
        <f>I384/F384</f>
        <v>5.8310502283105023</v>
      </c>
      <c r="H384" s="31">
        <f>SUM(H382:H383)</f>
        <v>11</v>
      </c>
      <c r="I384" s="31">
        <f>SUM(I382:I383)</f>
        <v>2554</v>
      </c>
    </row>
    <row r="385" spans="1:10" x14ac:dyDescent="0.25">
      <c r="A385" s="53">
        <v>1</v>
      </c>
      <c r="B385" s="109" t="s">
        <v>245</v>
      </c>
      <c r="C385" s="53">
        <v>1</v>
      </c>
      <c r="D385" s="311" t="s">
        <v>86</v>
      </c>
      <c r="E385" s="69"/>
      <c r="F385" s="446">
        <f>F384</f>
        <v>438</v>
      </c>
      <c r="G385" s="143">
        <f>I385/F385</f>
        <v>5.8310502283105023</v>
      </c>
      <c r="H385" s="302">
        <f>H384</f>
        <v>11</v>
      </c>
      <c r="I385" s="302">
        <f>I384</f>
        <v>2554</v>
      </c>
    </row>
    <row r="386" spans="1:10" ht="15.75" thickBot="1" x14ac:dyDescent="0.3">
      <c r="A386" s="53">
        <v>1</v>
      </c>
      <c r="B386" s="109" t="s">
        <v>245</v>
      </c>
      <c r="C386" s="53">
        <v>1</v>
      </c>
      <c r="D386" s="448" t="s">
        <v>220</v>
      </c>
      <c r="E386" s="418"/>
      <c r="F386" s="494"/>
      <c r="G386" s="418"/>
      <c r="H386" s="418"/>
      <c r="I386" s="418"/>
    </row>
    <row r="387" spans="1:10" hidden="1" x14ac:dyDescent="0.25">
      <c r="A387" s="53">
        <v>1</v>
      </c>
      <c r="B387" s="53"/>
      <c r="C387" s="53">
        <v>1</v>
      </c>
      <c r="D387" s="451"/>
      <c r="E387" s="495"/>
      <c r="F387" s="55"/>
      <c r="G387" s="2"/>
      <c r="H387" s="2"/>
      <c r="I387" s="2"/>
    </row>
    <row r="388" spans="1:10" ht="29.25" hidden="1" x14ac:dyDescent="0.25">
      <c r="A388" s="53">
        <v>1</v>
      </c>
      <c r="B388" s="109" t="s">
        <v>246</v>
      </c>
      <c r="C388" s="53">
        <v>1</v>
      </c>
      <c r="D388" s="674" t="s">
        <v>388</v>
      </c>
      <c r="E388" s="68"/>
      <c r="F388" s="55"/>
      <c r="G388" s="2"/>
      <c r="H388" s="2"/>
      <c r="I388" s="2"/>
    </row>
    <row r="389" spans="1:10" s="58" customFormat="1" ht="45.75" hidden="1" customHeight="1" x14ac:dyDescent="0.25">
      <c r="A389" s="53">
        <v>1</v>
      </c>
      <c r="B389" s="109" t="s">
        <v>246</v>
      </c>
      <c r="C389" s="53">
        <v>1</v>
      </c>
      <c r="D389" s="101" t="s">
        <v>294</v>
      </c>
      <c r="E389" s="12"/>
      <c r="F389" s="429"/>
      <c r="G389" s="57"/>
      <c r="H389" s="57"/>
      <c r="I389" s="57"/>
      <c r="J389" s="430"/>
    </row>
    <row r="390" spans="1:10" s="58" customFormat="1" hidden="1" x14ac:dyDescent="0.25">
      <c r="A390" s="53"/>
      <c r="B390" s="109" t="s">
        <v>246</v>
      </c>
      <c r="C390" s="53">
        <v>1</v>
      </c>
      <c r="D390" s="14" t="s">
        <v>187</v>
      </c>
      <c r="E390" s="12"/>
      <c r="F390" s="429">
        <f>F391+F392+F393+F395+F397</f>
        <v>58151</v>
      </c>
      <c r="G390" s="57"/>
      <c r="H390" s="57"/>
      <c r="I390" s="57"/>
      <c r="J390" s="430"/>
    </row>
    <row r="391" spans="1:10" s="58" customFormat="1" hidden="1" x14ac:dyDescent="0.25">
      <c r="A391" s="53"/>
      <c r="B391" s="109" t="s">
        <v>246</v>
      </c>
      <c r="C391" s="53">
        <v>1</v>
      </c>
      <c r="D391" s="18" t="s">
        <v>113</v>
      </c>
      <c r="E391" s="12"/>
      <c r="F391" s="429"/>
      <c r="G391" s="57"/>
      <c r="H391" s="57"/>
      <c r="I391" s="57"/>
      <c r="J391" s="430"/>
    </row>
    <row r="392" spans="1:10" s="58" customFormat="1" ht="30" hidden="1" x14ac:dyDescent="0.25">
      <c r="A392" s="53"/>
      <c r="B392" s="109" t="s">
        <v>246</v>
      </c>
      <c r="C392" s="53">
        <v>1</v>
      </c>
      <c r="D392" s="18" t="s">
        <v>114</v>
      </c>
      <c r="E392" s="12"/>
      <c r="F392" s="59">
        <v>10000</v>
      </c>
      <c r="G392" s="57"/>
      <c r="H392" s="57"/>
      <c r="I392" s="57"/>
      <c r="J392" s="430"/>
    </row>
    <row r="393" spans="1:10" s="58" customFormat="1" ht="30" hidden="1" x14ac:dyDescent="0.25">
      <c r="A393" s="53"/>
      <c r="B393" s="109" t="s">
        <v>246</v>
      </c>
      <c r="C393" s="53">
        <v>1</v>
      </c>
      <c r="D393" s="15" t="s">
        <v>361</v>
      </c>
      <c r="E393" s="12"/>
      <c r="F393" s="59">
        <f>27688-5000</f>
        <v>22688</v>
      </c>
      <c r="G393" s="57"/>
      <c r="H393" s="57"/>
      <c r="I393" s="57"/>
      <c r="J393" s="430"/>
    </row>
    <row r="394" spans="1:10" s="58" customFormat="1" ht="45" hidden="1" x14ac:dyDescent="0.25">
      <c r="A394" s="53"/>
      <c r="B394" s="109" t="s">
        <v>246</v>
      </c>
      <c r="C394" s="53">
        <v>1</v>
      </c>
      <c r="D394" s="15" t="s">
        <v>219</v>
      </c>
      <c r="E394" s="12"/>
      <c r="F394" s="429"/>
      <c r="G394" s="57"/>
      <c r="H394" s="57"/>
      <c r="I394" s="57"/>
      <c r="J394" s="430"/>
    </row>
    <row r="395" spans="1:10" s="58" customFormat="1" ht="45" hidden="1" x14ac:dyDescent="0.25">
      <c r="A395" s="53"/>
      <c r="B395" s="109" t="s">
        <v>246</v>
      </c>
      <c r="C395" s="53">
        <v>1</v>
      </c>
      <c r="D395" s="15" t="s">
        <v>188</v>
      </c>
      <c r="E395" s="12"/>
      <c r="F395" s="59">
        <v>20000</v>
      </c>
      <c r="G395" s="57"/>
      <c r="H395" s="57"/>
      <c r="I395" s="57"/>
      <c r="J395" s="430"/>
    </row>
    <row r="396" spans="1:10" s="58" customFormat="1" ht="75" hidden="1" x14ac:dyDescent="0.25">
      <c r="A396" s="53"/>
      <c r="B396" s="109"/>
      <c r="C396" s="53">
        <v>1</v>
      </c>
      <c r="D396" s="15" t="s">
        <v>353</v>
      </c>
      <c r="E396" s="12"/>
      <c r="F396" s="59">
        <v>12000</v>
      </c>
      <c r="G396" s="57"/>
      <c r="H396" s="57"/>
      <c r="I396" s="57"/>
      <c r="J396" s="430"/>
    </row>
    <row r="397" spans="1:10" s="58" customFormat="1" ht="30" hidden="1" x14ac:dyDescent="0.25">
      <c r="A397" s="53"/>
      <c r="B397" s="109"/>
      <c r="C397" s="53">
        <v>1</v>
      </c>
      <c r="D397" s="15" t="s">
        <v>293</v>
      </c>
      <c r="E397" s="12"/>
      <c r="F397" s="59">
        <v>5463</v>
      </c>
      <c r="G397" s="57"/>
      <c r="H397" s="57"/>
      <c r="I397" s="57"/>
      <c r="J397" s="430"/>
    </row>
    <row r="398" spans="1:10" s="58" customFormat="1" hidden="1" x14ac:dyDescent="0.25">
      <c r="A398" s="53"/>
      <c r="B398" s="109" t="s">
        <v>246</v>
      </c>
      <c r="C398" s="53">
        <v>1</v>
      </c>
      <c r="D398" s="60" t="s">
        <v>88</v>
      </c>
      <c r="E398" s="12"/>
      <c r="F398" s="429">
        <f>F399</f>
        <v>65172</v>
      </c>
      <c r="G398" s="57"/>
      <c r="H398" s="57"/>
      <c r="I398" s="57"/>
      <c r="J398" s="430"/>
    </row>
    <row r="399" spans="1:10" s="58" customFormat="1" hidden="1" x14ac:dyDescent="0.25">
      <c r="A399" s="53"/>
      <c r="B399" s="109" t="s">
        <v>246</v>
      </c>
      <c r="C399" s="53">
        <v>1</v>
      </c>
      <c r="D399" s="19" t="s">
        <v>145</v>
      </c>
      <c r="E399" s="12"/>
      <c r="F399" s="59">
        <v>65172</v>
      </c>
      <c r="G399" s="57"/>
      <c r="H399" s="57"/>
      <c r="I399" s="57"/>
      <c r="J399" s="430"/>
    </row>
    <row r="400" spans="1:10" s="58" customFormat="1" ht="47.25" hidden="1" x14ac:dyDescent="0.25">
      <c r="A400" s="53"/>
      <c r="B400" s="109" t="s">
        <v>246</v>
      </c>
      <c r="C400" s="53">
        <v>1</v>
      </c>
      <c r="D400" s="61" t="s">
        <v>292</v>
      </c>
      <c r="E400" s="12"/>
      <c r="F400" s="429">
        <f>SUM(F401,F406)</f>
        <v>22370</v>
      </c>
      <c r="G400" s="57"/>
      <c r="H400" s="57"/>
      <c r="I400" s="57"/>
      <c r="J400" s="430"/>
    </row>
    <row r="401" spans="1:10" s="58" customFormat="1" ht="15.75" hidden="1" customHeight="1" x14ac:dyDescent="0.25">
      <c r="A401" s="53"/>
      <c r="B401" s="109" t="s">
        <v>246</v>
      </c>
      <c r="C401" s="53">
        <v>1</v>
      </c>
      <c r="D401" s="16" t="s">
        <v>189</v>
      </c>
      <c r="E401" s="12"/>
      <c r="F401" s="59">
        <f>SUM(F402:F405)</f>
        <v>16554</v>
      </c>
      <c r="G401" s="57"/>
      <c r="H401" s="57"/>
      <c r="I401" s="57"/>
      <c r="J401" s="430"/>
    </row>
    <row r="402" spans="1:10" s="58" customFormat="1" ht="19.5" hidden="1" customHeight="1" x14ac:dyDescent="0.25">
      <c r="A402" s="53"/>
      <c r="B402" s="109" t="s">
        <v>246</v>
      </c>
      <c r="C402" s="53">
        <v>1</v>
      </c>
      <c r="D402" s="15" t="s">
        <v>190</v>
      </c>
      <c r="E402" s="12"/>
      <c r="F402" s="59">
        <v>16554</v>
      </c>
      <c r="G402" s="57"/>
      <c r="H402" s="57"/>
      <c r="I402" s="57"/>
      <c r="J402" s="430"/>
    </row>
    <row r="403" spans="1:10" s="58" customFormat="1" ht="45" hidden="1" x14ac:dyDescent="0.25">
      <c r="A403" s="53"/>
      <c r="B403" s="109" t="s">
        <v>246</v>
      </c>
      <c r="C403" s="53">
        <v>1</v>
      </c>
      <c r="D403" s="15" t="s">
        <v>191</v>
      </c>
      <c r="E403" s="12"/>
      <c r="F403" s="59"/>
      <c r="G403" s="57"/>
      <c r="H403" s="57"/>
      <c r="I403" s="57"/>
      <c r="J403" s="430"/>
    </row>
    <row r="404" spans="1:10" s="58" customFormat="1" ht="30" hidden="1" x14ac:dyDescent="0.25">
      <c r="A404" s="53"/>
      <c r="B404" s="109" t="s">
        <v>246</v>
      </c>
      <c r="C404" s="53">
        <v>1</v>
      </c>
      <c r="D404" s="15" t="s">
        <v>192</v>
      </c>
      <c r="E404" s="12"/>
      <c r="F404" s="59"/>
      <c r="G404" s="57"/>
      <c r="H404" s="57"/>
      <c r="I404" s="57"/>
      <c r="J404" s="430"/>
    </row>
    <row r="405" spans="1:10" s="58" customFormat="1" ht="30" hidden="1" x14ac:dyDescent="0.25">
      <c r="A405" s="53"/>
      <c r="B405" s="109" t="s">
        <v>246</v>
      </c>
      <c r="C405" s="53">
        <v>1</v>
      </c>
      <c r="D405" s="15" t="s">
        <v>193</v>
      </c>
      <c r="E405" s="12"/>
      <c r="F405" s="59"/>
      <c r="G405" s="57"/>
      <c r="H405" s="57"/>
      <c r="I405" s="57"/>
      <c r="J405" s="430"/>
    </row>
    <row r="406" spans="1:10" s="58" customFormat="1" ht="30" hidden="1" x14ac:dyDescent="0.25">
      <c r="A406" s="53"/>
      <c r="B406" s="109" t="s">
        <v>246</v>
      </c>
      <c r="C406" s="53">
        <v>1</v>
      </c>
      <c r="D406" s="16" t="s">
        <v>194</v>
      </c>
      <c r="E406" s="12"/>
      <c r="F406" s="429">
        <f>F407+F408+F409</f>
        <v>5816</v>
      </c>
      <c r="G406" s="57"/>
      <c r="H406" s="57"/>
      <c r="I406" s="57"/>
      <c r="J406" s="430"/>
    </row>
    <row r="407" spans="1:10" s="58" customFormat="1" ht="30" hidden="1" x14ac:dyDescent="0.25">
      <c r="A407" s="53"/>
      <c r="B407" s="109" t="s">
        <v>246</v>
      </c>
      <c r="C407" s="53">
        <v>1</v>
      </c>
      <c r="D407" s="15" t="s">
        <v>195</v>
      </c>
      <c r="E407" s="12"/>
      <c r="F407" s="59">
        <v>5816</v>
      </c>
      <c r="G407" s="57"/>
      <c r="H407" s="57"/>
      <c r="I407" s="57"/>
      <c r="J407" s="430"/>
    </row>
    <row r="408" spans="1:10" s="58" customFormat="1" ht="45" hidden="1" x14ac:dyDescent="0.25">
      <c r="A408" s="53"/>
      <c r="B408" s="109" t="s">
        <v>246</v>
      </c>
      <c r="C408" s="53">
        <v>1</v>
      </c>
      <c r="D408" s="15" t="s">
        <v>196</v>
      </c>
      <c r="E408" s="12"/>
      <c r="F408" s="429"/>
      <c r="G408" s="57"/>
      <c r="H408" s="57"/>
      <c r="I408" s="57"/>
      <c r="J408" s="430"/>
    </row>
    <row r="409" spans="1:10" s="58" customFormat="1" ht="45" hidden="1" x14ac:dyDescent="0.25">
      <c r="A409" s="53"/>
      <c r="B409" s="109" t="s">
        <v>246</v>
      </c>
      <c r="C409" s="53">
        <v>1</v>
      </c>
      <c r="D409" s="15" t="s">
        <v>197</v>
      </c>
      <c r="E409" s="12"/>
      <c r="F409" s="429"/>
      <c r="G409" s="57"/>
      <c r="H409" s="57"/>
      <c r="I409" s="57"/>
      <c r="J409" s="430"/>
    </row>
    <row r="410" spans="1:10" s="58" customFormat="1" ht="30" hidden="1" x14ac:dyDescent="0.25">
      <c r="A410" s="53"/>
      <c r="B410" s="109"/>
      <c r="C410" s="53">
        <v>1</v>
      </c>
      <c r="D410" s="16" t="s">
        <v>96</v>
      </c>
      <c r="E410" s="12"/>
      <c r="F410" s="429"/>
      <c r="G410" s="57"/>
      <c r="H410" s="57"/>
      <c r="I410" s="57"/>
      <c r="J410" s="430"/>
    </row>
    <row r="411" spans="1:10" s="58" customFormat="1" hidden="1" x14ac:dyDescent="0.25">
      <c r="A411" s="53"/>
      <c r="B411" s="109" t="s">
        <v>246</v>
      </c>
      <c r="C411" s="53">
        <v>1</v>
      </c>
      <c r="D411" s="14" t="s">
        <v>296</v>
      </c>
      <c r="E411" s="12"/>
      <c r="F411" s="429">
        <f>F412+F413+F417+F418+F419+F420</f>
        <v>7103</v>
      </c>
      <c r="G411" s="57"/>
      <c r="H411" s="57"/>
      <c r="I411" s="57"/>
      <c r="J411" s="52"/>
    </row>
    <row r="412" spans="1:10" s="58" customFormat="1" hidden="1" x14ac:dyDescent="0.25">
      <c r="A412" s="53"/>
      <c r="B412" s="109" t="s">
        <v>246</v>
      </c>
      <c r="C412" s="53">
        <v>1</v>
      </c>
      <c r="D412" s="15" t="s">
        <v>297</v>
      </c>
      <c r="E412" s="12"/>
      <c r="F412" s="429"/>
      <c r="G412" s="57"/>
      <c r="H412" s="57"/>
      <c r="I412" s="57"/>
      <c r="J412" s="52"/>
    </row>
    <row r="413" spans="1:10" s="58" customFormat="1" ht="30" hidden="1" x14ac:dyDescent="0.25">
      <c r="A413" s="53"/>
      <c r="B413" s="109" t="s">
        <v>246</v>
      </c>
      <c r="C413" s="53">
        <v>1</v>
      </c>
      <c r="D413" s="16" t="s">
        <v>298</v>
      </c>
      <c r="E413" s="12"/>
      <c r="F413" s="429"/>
      <c r="G413" s="57"/>
      <c r="H413" s="57"/>
      <c r="I413" s="57"/>
      <c r="J413" s="52"/>
    </row>
    <row r="414" spans="1:10" s="124" customFormat="1" hidden="1" x14ac:dyDescent="0.25">
      <c r="A414" s="104"/>
      <c r="B414" s="109" t="s">
        <v>246</v>
      </c>
      <c r="C414" s="53">
        <v>1</v>
      </c>
      <c r="D414" s="15" t="s">
        <v>299</v>
      </c>
      <c r="E414" s="13"/>
      <c r="F414" s="17"/>
      <c r="G414" s="10"/>
      <c r="H414" s="10"/>
      <c r="I414" s="10"/>
      <c r="J414" s="52"/>
    </row>
    <row r="415" spans="1:10" s="58" customFormat="1" ht="30" hidden="1" x14ac:dyDescent="0.25">
      <c r="A415" s="53"/>
      <c r="B415" s="109" t="s">
        <v>246</v>
      </c>
      <c r="C415" s="53">
        <v>1</v>
      </c>
      <c r="D415" s="15" t="s">
        <v>300</v>
      </c>
      <c r="E415" s="12"/>
      <c r="F415" s="429"/>
      <c r="G415" s="57"/>
      <c r="H415" s="57"/>
      <c r="I415" s="57"/>
      <c r="J415" s="52"/>
    </row>
    <row r="416" spans="1:10" s="58" customFormat="1" ht="45" hidden="1" x14ac:dyDescent="0.25">
      <c r="A416" s="53"/>
      <c r="B416" s="109" t="s">
        <v>246</v>
      </c>
      <c r="C416" s="53">
        <v>1</v>
      </c>
      <c r="D416" s="15" t="s">
        <v>301</v>
      </c>
      <c r="E416" s="12"/>
      <c r="F416" s="429"/>
      <c r="G416" s="57"/>
      <c r="H416" s="57"/>
      <c r="I416" s="57"/>
      <c r="J416" s="52"/>
    </row>
    <row r="417" spans="1:10" s="58" customFormat="1" ht="45" hidden="1" x14ac:dyDescent="0.25">
      <c r="A417" s="53"/>
      <c r="B417" s="109" t="s">
        <v>246</v>
      </c>
      <c r="C417" s="53">
        <v>1</v>
      </c>
      <c r="D417" s="15" t="s">
        <v>309</v>
      </c>
      <c r="E417" s="12"/>
      <c r="F417" s="429"/>
      <c r="G417" s="57"/>
      <c r="H417" s="57"/>
      <c r="I417" s="57"/>
      <c r="J417" s="52"/>
    </row>
    <row r="418" spans="1:10" s="58" customFormat="1" ht="45" hidden="1" x14ac:dyDescent="0.25">
      <c r="A418" s="53"/>
      <c r="B418" s="109" t="s">
        <v>246</v>
      </c>
      <c r="C418" s="53">
        <v>1</v>
      </c>
      <c r="D418" s="18" t="s">
        <v>310</v>
      </c>
      <c r="E418" s="12"/>
      <c r="F418" s="429"/>
      <c r="G418" s="57"/>
      <c r="H418" s="57"/>
      <c r="I418" s="57"/>
      <c r="J418" s="52"/>
    </row>
    <row r="419" spans="1:10" s="58" customFormat="1" ht="75" hidden="1" x14ac:dyDescent="0.25">
      <c r="A419" s="53"/>
      <c r="B419" s="109"/>
      <c r="C419" s="53">
        <v>1</v>
      </c>
      <c r="D419" s="18" t="s">
        <v>354</v>
      </c>
      <c r="E419" s="13"/>
      <c r="F419" s="55">
        <v>600</v>
      </c>
      <c r="G419" s="65"/>
      <c r="H419" s="65"/>
      <c r="I419" s="43"/>
      <c r="J419" s="52"/>
    </row>
    <row r="420" spans="1:10" s="58" customFormat="1" ht="28.5" hidden="1" x14ac:dyDescent="0.25">
      <c r="A420" s="53"/>
      <c r="B420" s="109"/>
      <c r="C420" s="53">
        <v>1</v>
      </c>
      <c r="D420" s="66" t="s">
        <v>344</v>
      </c>
      <c r="E420" s="13"/>
      <c r="F420" s="55">
        <f>F421</f>
        <v>6503</v>
      </c>
      <c r="G420" s="59"/>
      <c r="H420" s="59"/>
      <c r="I420" s="81"/>
      <c r="J420" s="52"/>
    </row>
    <row r="421" spans="1:10" s="58" customFormat="1" hidden="1" x14ac:dyDescent="0.25">
      <c r="A421" s="53"/>
      <c r="B421" s="109"/>
      <c r="C421" s="53">
        <v>1</v>
      </c>
      <c r="D421" s="18" t="s">
        <v>345</v>
      </c>
      <c r="E421" s="13"/>
      <c r="F421" s="55">
        <v>6503</v>
      </c>
      <c r="G421" s="59"/>
      <c r="H421" s="59"/>
      <c r="I421" s="81"/>
      <c r="J421" s="52"/>
    </row>
    <row r="422" spans="1:10" s="58" customFormat="1" ht="28.5" hidden="1" x14ac:dyDescent="0.25">
      <c r="A422" s="53"/>
      <c r="B422" s="109"/>
      <c r="C422" s="53">
        <v>1</v>
      </c>
      <c r="D422" s="66" t="s">
        <v>346</v>
      </c>
      <c r="E422" s="13"/>
      <c r="F422" s="55"/>
      <c r="G422" s="59"/>
      <c r="H422" s="59"/>
      <c r="I422" s="81"/>
      <c r="J422" s="52"/>
    </row>
    <row r="423" spans="1:10" s="58" customFormat="1" hidden="1" x14ac:dyDescent="0.25">
      <c r="A423" s="53">
        <v>1</v>
      </c>
      <c r="B423" s="109" t="s">
        <v>246</v>
      </c>
      <c r="C423" s="53">
        <v>1</v>
      </c>
      <c r="D423" s="14" t="s">
        <v>303</v>
      </c>
      <c r="E423" s="62"/>
      <c r="F423" s="63"/>
      <c r="G423" s="57"/>
      <c r="H423" s="57"/>
      <c r="I423" s="57"/>
      <c r="J423" s="52"/>
    </row>
    <row r="424" spans="1:10" s="58" customFormat="1" hidden="1" x14ac:dyDescent="0.25">
      <c r="A424" s="53">
        <v>1</v>
      </c>
      <c r="B424" s="109" t="s">
        <v>246</v>
      </c>
      <c r="C424" s="53">
        <v>1</v>
      </c>
      <c r="D424" s="14" t="s">
        <v>304</v>
      </c>
      <c r="E424" s="24"/>
      <c r="F424" s="55"/>
      <c r="G424" s="24"/>
      <c r="H424" s="24"/>
      <c r="I424" s="24"/>
      <c r="J424" s="52"/>
    </row>
    <row r="425" spans="1:10" s="58" customFormat="1" hidden="1" x14ac:dyDescent="0.25">
      <c r="A425" s="53">
        <v>1</v>
      </c>
      <c r="B425" s="109" t="s">
        <v>246</v>
      </c>
      <c r="C425" s="53">
        <v>1</v>
      </c>
      <c r="D425" s="15" t="s">
        <v>305</v>
      </c>
      <c r="E425" s="62"/>
      <c r="F425" s="63"/>
      <c r="G425" s="57"/>
      <c r="H425" s="57"/>
      <c r="I425" s="57"/>
      <c r="J425" s="52"/>
    </row>
    <row r="426" spans="1:10" s="58" customFormat="1" hidden="1" x14ac:dyDescent="0.25">
      <c r="A426" s="53"/>
      <c r="B426" s="109"/>
      <c r="C426" s="53">
        <v>1</v>
      </c>
      <c r="D426" s="42" t="s">
        <v>314</v>
      </c>
      <c r="E426" s="62"/>
      <c r="F426" s="75"/>
      <c r="G426" s="57"/>
      <c r="H426" s="57"/>
      <c r="I426" s="57"/>
      <c r="J426" s="52"/>
    </row>
    <row r="427" spans="1:10" s="58" customFormat="1" ht="29.25" hidden="1" x14ac:dyDescent="0.25">
      <c r="A427" s="53">
        <v>1</v>
      </c>
      <c r="B427" s="109" t="s">
        <v>246</v>
      </c>
      <c r="C427" s="53">
        <v>1</v>
      </c>
      <c r="D427" s="14" t="s">
        <v>306</v>
      </c>
      <c r="E427" s="62"/>
      <c r="F427" s="55">
        <v>16700</v>
      </c>
      <c r="G427" s="57"/>
      <c r="H427" s="57"/>
      <c r="I427" s="57"/>
      <c r="J427" s="52"/>
    </row>
    <row r="428" spans="1:10" s="58" customFormat="1" hidden="1" x14ac:dyDescent="0.25">
      <c r="A428" s="53">
        <v>1</v>
      </c>
      <c r="B428" s="109" t="s">
        <v>246</v>
      </c>
      <c r="C428" s="53">
        <v>1</v>
      </c>
      <c r="D428" s="19" t="s">
        <v>115</v>
      </c>
      <c r="E428" s="62"/>
      <c r="F428" s="55"/>
      <c r="G428" s="57"/>
      <c r="H428" s="57"/>
      <c r="I428" s="57"/>
      <c r="J428" s="52"/>
    </row>
    <row r="429" spans="1:10" s="58" customFormat="1" hidden="1" x14ac:dyDescent="0.25">
      <c r="A429" s="53">
        <v>1</v>
      </c>
      <c r="B429" s="109" t="s">
        <v>246</v>
      </c>
      <c r="C429" s="53">
        <v>1</v>
      </c>
      <c r="D429" s="20" t="s">
        <v>158</v>
      </c>
      <c r="E429" s="62"/>
      <c r="F429" s="496">
        <f>SUM(F430:F436)</f>
        <v>15926</v>
      </c>
      <c r="G429" s="57"/>
      <c r="H429" s="57"/>
      <c r="I429" s="57"/>
      <c r="J429" s="52"/>
    </row>
    <row r="430" spans="1:10" s="58" customFormat="1" ht="30" hidden="1" x14ac:dyDescent="0.25">
      <c r="A430" s="53"/>
      <c r="B430" s="109"/>
      <c r="C430" s="53">
        <v>1</v>
      </c>
      <c r="D430" s="74" t="s">
        <v>348</v>
      </c>
      <c r="E430" s="62"/>
      <c r="F430" s="433">
        <v>50</v>
      </c>
      <c r="G430" s="57"/>
      <c r="H430" s="57"/>
      <c r="I430" s="57"/>
      <c r="J430" s="52"/>
    </row>
    <row r="431" spans="1:10" s="58" customFormat="1" ht="30" hidden="1" x14ac:dyDescent="0.25">
      <c r="A431" s="53"/>
      <c r="B431" s="109" t="s">
        <v>246</v>
      </c>
      <c r="C431" s="53">
        <v>1</v>
      </c>
      <c r="D431" s="74" t="s">
        <v>210</v>
      </c>
      <c r="E431" s="62"/>
      <c r="F431" s="433">
        <v>2000</v>
      </c>
      <c r="G431" s="57"/>
      <c r="H431" s="57"/>
      <c r="I431" s="57"/>
      <c r="J431" s="52"/>
    </row>
    <row r="432" spans="1:10" s="58" customFormat="1" ht="30" hidden="1" x14ac:dyDescent="0.25">
      <c r="A432" s="53"/>
      <c r="B432" s="109" t="s">
        <v>246</v>
      </c>
      <c r="C432" s="53">
        <v>1</v>
      </c>
      <c r="D432" s="74" t="s">
        <v>203</v>
      </c>
      <c r="E432" s="62"/>
      <c r="F432" s="433">
        <v>2000</v>
      </c>
      <c r="G432" s="57"/>
      <c r="H432" s="57"/>
      <c r="I432" s="57"/>
      <c r="J432" s="52"/>
    </row>
    <row r="433" spans="1:10" ht="45" hidden="1" x14ac:dyDescent="0.25">
      <c r="A433" s="53"/>
      <c r="B433" s="109"/>
      <c r="C433" s="53">
        <v>1</v>
      </c>
      <c r="D433" s="74" t="s">
        <v>282</v>
      </c>
      <c r="E433" s="13"/>
      <c r="F433" s="55">
        <v>8400</v>
      </c>
      <c r="G433" s="2"/>
      <c r="H433" s="2"/>
      <c r="I433" s="2"/>
    </row>
    <row r="434" spans="1:10" hidden="1" x14ac:dyDescent="0.25">
      <c r="A434" s="53"/>
      <c r="B434" s="109"/>
      <c r="C434" s="53">
        <v>1</v>
      </c>
      <c r="D434" s="74" t="s">
        <v>17</v>
      </c>
      <c r="E434" s="13"/>
      <c r="F434" s="55">
        <v>1476</v>
      </c>
      <c r="G434" s="2"/>
      <c r="H434" s="2"/>
      <c r="I434" s="2"/>
    </row>
    <row r="435" spans="1:10" s="58" customFormat="1" hidden="1" x14ac:dyDescent="0.25">
      <c r="A435" s="53"/>
      <c r="B435" s="109" t="s">
        <v>246</v>
      </c>
      <c r="C435" s="53">
        <v>1</v>
      </c>
      <c r="D435" s="74" t="s">
        <v>31</v>
      </c>
      <c r="E435" s="62"/>
      <c r="F435" s="433">
        <v>1000</v>
      </c>
      <c r="G435" s="57"/>
      <c r="H435" s="57"/>
      <c r="I435" s="57"/>
      <c r="J435" s="52"/>
    </row>
    <row r="436" spans="1:10" s="58" customFormat="1" hidden="1" x14ac:dyDescent="0.25">
      <c r="A436" s="53"/>
      <c r="B436" s="109" t="s">
        <v>246</v>
      </c>
      <c r="C436" s="53">
        <v>1</v>
      </c>
      <c r="D436" s="74" t="s">
        <v>118</v>
      </c>
      <c r="E436" s="62"/>
      <c r="F436" s="433">
        <v>1000</v>
      </c>
      <c r="G436" s="57"/>
      <c r="H436" s="57"/>
      <c r="I436" s="57"/>
      <c r="J436" s="52"/>
    </row>
    <row r="437" spans="1:10" s="58" customFormat="1" hidden="1" x14ac:dyDescent="0.25">
      <c r="A437" s="53"/>
      <c r="B437" s="109" t="s">
        <v>246</v>
      </c>
      <c r="C437" s="53">
        <v>1</v>
      </c>
      <c r="D437" s="21" t="s">
        <v>198</v>
      </c>
      <c r="E437" s="62"/>
      <c r="F437" s="496">
        <f>F411+F390</f>
        <v>65254</v>
      </c>
      <c r="G437" s="57"/>
      <c r="H437" s="57"/>
      <c r="I437" s="57"/>
      <c r="J437" s="430"/>
    </row>
    <row r="438" spans="1:10" s="58" customFormat="1" ht="29.25" hidden="1" x14ac:dyDescent="0.25">
      <c r="A438" s="53"/>
      <c r="B438" s="109" t="s">
        <v>246</v>
      </c>
      <c r="C438" s="53">
        <v>1</v>
      </c>
      <c r="D438" s="21" t="s">
        <v>199</v>
      </c>
      <c r="E438" s="62"/>
      <c r="F438" s="496">
        <f>F400</f>
        <v>22370</v>
      </c>
      <c r="G438" s="57"/>
      <c r="H438" s="57"/>
      <c r="I438" s="57"/>
      <c r="J438" s="430"/>
    </row>
    <row r="439" spans="1:10" s="58" customFormat="1" hidden="1" x14ac:dyDescent="0.25">
      <c r="A439" s="53"/>
      <c r="B439" s="109" t="s">
        <v>246</v>
      </c>
      <c r="C439" s="53">
        <v>1</v>
      </c>
      <c r="D439" s="21" t="s">
        <v>200</v>
      </c>
      <c r="E439" s="62"/>
      <c r="F439" s="496">
        <f>F398</f>
        <v>65172</v>
      </c>
      <c r="G439" s="57"/>
      <c r="H439" s="57"/>
      <c r="I439" s="57"/>
      <c r="J439" s="430"/>
    </row>
    <row r="440" spans="1:10" s="58" customFormat="1" ht="29.25" hidden="1" x14ac:dyDescent="0.25">
      <c r="A440" s="53"/>
      <c r="B440" s="109" t="s">
        <v>246</v>
      </c>
      <c r="C440" s="53">
        <v>1</v>
      </c>
      <c r="D440" s="21" t="s">
        <v>201</v>
      </c>
      <c r="E440" s="62"/>
      <c r="F440" s="496">
        <f>F427</f>
        <v>16700</v>
      </c>
      <c r="G440" s="57"/>
      <c r="H440" s="57"/>
      <c r="I440" s="57"/>
      <c r="J440" s="430"/>
    </row>
    <row r="441" spans="1:10" s="58" customFormat="1" hidden="1" x14ac:dyDescent="0.25">
      <c r="A441" s="53">
        <v>1</v>
      </c>
      <c r="B441" s="109" t="s">
        <v>246</v>
      </c>
      <c r="C441" s="53">
        <v>1</v>
      </c>
      <c r="D441" s="22" t="s">
        <v>109</v>
      </c>
      <c r="E441" s="13"/>
      <c r="F441" s="398">
        <f>F437+F438+F440+F439*2.9</f>
        <v>293322.8</v>
      </c>
      <c r="G441" s="65"/>
      <c r="H441" s="65"/>
      <c r="I441" s="43"/>
      <c r="J441" s="430"/>
    </row>
    <row r="442" spans="1:10" hidden="1" x14ac:dyDescent="0.25">
      <c r="A442" s="53">
        <v>1</v>
      </c>
      <c r="B442" s="109" t="s">
        <v>246</v>
      </c>
      <c r="C442" s="53">
        <v>1</v>
      </c>
      <c r="D442" s="44" t="s">
        <v>7</v>
      </c>
      <c r="E442" s="13"/>
      <c r="F442" s="55"/>
      <c r="G442" s="2"/>
      <c r="H442" s="2"/>
      <c r="I442" s="2"/>
    </row>
    <row r="443" spans="1:10" hidden="1" x14ac:dyDescent="0.25">
      <c r="A443" s="53">
        <v>1</v>
      </c>
      <c r="B443" s="109" t="s">
        <v>246</v>
      </c>
      <c r="C443" s="53">
        <v>1</v>
      </c>
      <c r="D443" s="44" t="s">
        <v>71</v>
      </c>
      <c r="E443" s="13"/>
      <c r="F443" s="55"/>
      <c r="G443" s="2"/>
      <c r="H443" s="2"/>
      <c r="I443" s="2"/>
    </row>
    <row r="444" spans="1:10" hidden="1" x14ac:dyDescent="0.25">
      <c r="A444" s="53">
        <v>1</v>
      </c>
      <c r="B444" s="109" t="s">
        <v>246</v>
      </c>
      <c r="C444" s="53">
        <v>1</v>
      </c>
      <c r="D444" s="439" t="s">
        <v>84</v>
      </c>
      <c r="E444" s="54">
        <v>240</v>
      </c>
      <c r="F444" s="55">
        <v>720</v>
      </c>
      <c r="G444" s="47">
        <v>4</v>
      </c>
      <c r="H444" s="2">
        <v>3</v>
      </c>
      <c r="I444" s="2">
        <f>ROUND(F444*G444,0)</f>
        <v>2880</v>
      </c>
    </row>
    <row r="445" spans="1:10" hidden="1" x14ac:dyDescent="0.25">
      <c r="A445" s="53">
        <v>1</v>
      </c>
      <c r="B445" s="109" t="s">
        <v>246</v>
      </c>
      <c r="C445" s="53">
        <v>1</v>
      </c>
      <c r="D445" s="439" t="s">
        <v>8</v>
      </c>
      <c r="E445" s="54">
        <v>240</v>
      </c>
      <c r="F445" s="55">
        <v>462</v>
      </c>
      <c r="G445" s="47">
        <v>4</v>
      </c>
      <c r="H445" s="2">
        <v>1</v>
      </c>
      <c r="I445" s="2">
        <f>ROUND(F445*G445,0)</f>
        <v>1848</v>
      </c>
    </row>
    <row r="446" spans="1:10" hidden="1" x14ac:dyDescent="0.25">
      <c r="A446" s="53">
        <v>1</v>
      </c>
      <c r="B446" s="109" t="s">
        <v>246</v>
      </c>
      <c r="C446" s="53">
        <v>1</v>
      </c>
      <c r="D446" s="439" t="s">
        <v>35</v>
      </c>
      <c r="E446" s="80">
        <v>240</v>
      </c>
      <c r="F446" s="55">
        <v>2708</v>
      </c>
      <c r="G446" s="56">
        <v>8</v>
      </c>
      <c r="H446" s="2">
        <v>24</v>
      </c>
      <c r="I446" s="2">
        <f>ROUND(F446*G446,0)</f>
        <v>21664</v>
      </c>
    </row>
    <row r="447" spans="1:10" hidden="1" x14ac:dyDescent="0.25">
      <c r="A447" s="53"/>
      <c r="B447" s="109" t="s">
        <v>246</v>
      </c>
      <c r="C447" s="53">
        <v>1</v>
      </c>
      <c r="D447" s="439" t="s">
        <v>10</v>
      </c>
      <c r="E447" s="80">
        <v>240</v>
      </c>
      <c r="F447" s="55">
        <v>720</v>
      </c>
      <c r="G447" s="56">
        <v>4</v>
      </c>
      <c r="H447" s="2">
        <v>4</v>
      </c>
      <c r="I447" s="2">
        <f>ROUND(F447*G447,0)</f>
        <v>2880</v>
      </c>
    </row>
    <row r="448" spans="1:10" hidden="1" x14ac:dyDescent="0.25">
      <c r="A448" s="53">
        <v>1</v>
      </c>
      <c r="B448" s="109" t="s">
        <v>246</v>
      </c>
      <c r="C448" s="53">
        <v>1</v>
      </c>
      <c r="D448" s="497" t="s">
        <v>92</v>
      </c>
      <c r="E448" s="80"/>
      <c r="F448" s="459">
        <f>SUM(F444:F447)</f>
        <v>4610</v>
      </c>
      <c r="G448" s="143">
        <f>I448/F448</f>
        <v>6.3496746203904557</v>
      </c>
      <c r="H448" s="31">
        <f>SUM(H444:H447)</f>
        <v>32</v>
      </c>
      <c r="I448" s="31">
        <f>SUM(I444:I447)</f>
        <v>29272</v>
      </c>
    </row>
    <row r="449" spans="1:10" hidden="1" x14ac:dyDescent="0.25">
      <c r="A449" s="53">
        <v>1</v>
      </c>
      <c r="B449" s="109" t="s">
        <v>246</v>
      </c>
      <c r="C449" s="53">
        <v>1</v>
      </c>
      <c r="D449" s="311" t="s">
        <v>86</v>
      </c>
      <c r="E449" s="481"/>
      <c r="F449" s="446">
        <f>F448</f>
        <v>4610</v>
      </c>
      <c r="G449" s="143">
        <f>I449/F449</f>
        <v>6.3496746203904557</v>
      </c>
      <c r="H449" s="302">
        <f>H448</f>
        <v>32</v>
      </c>
      <c r="I449" s="302">
        <f>I448</f>
        <v>29272</v>
      </c>
    </row>
    <row r="450" spans="1:10" s="53" customFormat="1" ht="15.75" hidden="1" thickBot="1" x14ac:dyDescent="0.3">
      <c r="A450" s="53">
        <v>1</v>
      </c>
      <c r="B450" s="109" t="s">
        <v>246</v>
      </c>
      <c r="C450" s="53">
        <v>1</v>
      </c>
      <c r="D450" s="482" t="s">
        <v>220</v>
      </c>
      <c r="E450" s="462"/>
      <c r="F450" s="463"/>
      <c r="G450" s="462"/>
      <c r="H450" s="462"/>
      <c r="I450" s="462"/>
      <c r="J450" s="152"/>
    </row>
    <row r="451" spans="1:10" hidden="1" x14ac:dyDescent="0.25">
      <c r="A451" s="53">
        <v>1</v>
      </c>
      <c r="B451" s="53"/>
      <c r="C451" s="53">
        <v>1</v>
      </c>
      <c r="D451" s="487"/>
      <c r="E451" s="422"/>
      <c r="F451" s="423"/>
      <c r="G451" s="424"/>
      <c r="H451" s="424"/>
      <c r="I451" s="424"/>
    </row>
    <row r="452" spans="1:10" ht="29.25" hidden="1" x14ac:dyDescent="0.25">
      <c r="A452" s="53">
        <v>1</v>
      </c>
      <c r="B452" s="109" t="s">
        <v>247</v>
      </c>
      <c r="C452" s="53">
        <v>1</v>
      </c>
      <c r="D452" s="674" t="s">
        <v>389</v>
      </c>
      <c r="E452" s="68"/>
      <c r="F452" s="55"/>
      <c r="G452" s="2"/>
      <c r="H452" s="2"/>
      <c r="I452" s="2"/>
    </row>
    <row r="453" spans="1:10" s="58" customFormat="1" ht="46.5" hidden="1" customHeight="1" x14ac:dyDescent="0.25">
      <c r="A453" s="53">
        <v>1</v>
      </c>
      <c r="B453" s="109" t="s">
        <v>247</v>
      </c>
      <c r="C453" s="53">
        <v>1</v>
      </c>
      <c r="D453" s="101" t="s">
        <v>294</v>
      </c>
      <c r="E453" s="12"/>
      <c r="F453" s="429"/>
      <c r="G453" s="57"/>
      <c r="H453" s="57"/>
      <c r="I453" s="57"/>
      <c r="J453" s="430"/>
    </row>
    <row r="454" spans="1:10" s="58" customFormat="1" hidden="1" x14ac:dyDescent="0.25">
      <c r="A454" s="53"/>
      <c r="B454" s="109" t="s">
        <v>247</v>
      </c>
      <c r="C454" s="53">
        <v>1</v>
      </c>
      <c r="D454" s="14" t="s">
        <v>187</v>
      </c>
      <c r="E454" s="12"/>
      <c r="F454" s="429">
        <f>F456+F457+F459+F461</f>
        <v>44182</v>
      </c>
      <c r="G454" s="57"/>
      <c r="H454" s="57"/>
      <c r="I454" s="57"/>
      <c r="J454" s="430"/>
    </row>
    <row r="455" spans="1:10" s="58" customFormat="1" hidden="1" x14ac:dyDescent="0.25">
      <c r="A455" s="53"/>
      <c r="B455" s="109" t="s">
        <v>247</v>
      </c>
      <c r="C455" s="53">
        <v>1</v>
      </c>
      <c r="D455" s="18" t="s">
        <v>113</v>
      </c>
      <c r="E455" s="12"/>
      <c r="F455" s="429"/>
      <c r="G455" s="57"/>
      <c r="H455" s="57"/>
      <c r="I455" s="57"/>
      <c r="J455" s="430"/>
    </row>
    <row r="456" spans="1:10" s="58" customFormat="1" ht="30" hidden="1" x14ac:dyDescent="0.25">
      <c r="A456" s="53"/>
      <c r="B456" s="109" t="s">
        <v>247</v>
      </c>
      <c r="C456" s="53">
        <v>1</v>
      </c>
      <c r="D456" s="18" t="s">
        <v>114</v>
      </c>
      <c r="E456" s="12"/>
      <c r="F456" s="59">
        <v>25625</v>
      </c>
      <c r="G456" s="57"/>
      <c r="H456" s="57"/>
      <c r="I456" s="57"/>
      <c r="J456" s="430"/>
    </row>
    <row r="457" spans="1:10" s="58" customFormat="1" ht="30" hidden="1" x14ac:dyDescent="0.25">
      <c r="A457" s="53"/>
      <c r="B457" s="109" t="s">
        <v>247</v>
      </c>
      <c r="C457" s="53">
        <v>1</v>
      </c>
      <c r="D457" s="15" t="s">
        <v>361</v>
      </c>
      <c r="E457" s="12"/>
      <c r="F457" s="59">
        <v>3495</v>
      </c>
      <c r="G457" s="57"/>
      <c r="H457" s="57"/>
      <c r="I457" s="57"/>
      <c r="J457" s="430"/>
    </row>
    <row r="458" spans="1:10" s="58" customFormat="1" ht="45" hidden="1" x14ac:dyDescent="0.25">
      <c r="A458" s="53"/>
      <c r="B458" s="109" t="s">
        <v>247</v>
      </c>
      <c r="C458" s="53">
        <v>1</v>
      </c>
      <c r="D458" s="15" t="s">
        <v>219</v>
      </c>
      <c r="E458" s="12"/>
      <c r="F458" s="429"/>
      <c r="G458" s="57"/>
      <c r="H458" s="57"/>
      <c r="I458" s="57"/>
      <c r="J458" s="430"/>
    </row>
    <row r="459" spans="1:10" s="58" customFormat="1" ht="45" hidden="1" x14ac:dyDescent="0.25">
      <c r="A459" s="53"/>
      <c r="B459" s="109" t="s">
        <v>247</v>
      </c>
      <c r="C459" s="53">
        <v>1</v>
      </c>
      <c r="D459" s="15" t="s">
        <v>188</v>
      </c>
      <c r="E459" s="12"/>
      <c r="F459" s="59">
        <v>12000</v>
      </c>
      <c r="G459" s="57"/>
      <c r="H459" s="57"/>
      <c r="I459" s="57"/>
      <c r="J459" s="430"/>
    </row>
    <row r="460" spans="1:10" s="58" customFormat="1" ht="75" hidden="1" x14ac:dyDescent="0.25">
      <c r="A460" s="53"/>
      <c r="B460" s="109"/>
      <c r="C460" s="53">
        <v>1</v>
      </c>
      <c r="D460" s="15" t="s">
        <v>353</v>
      </c>
      <c r="E460" s="12"/>
      <c r="F460" s="59">
        <v>4000</v>
      </c>
      <c r="G460" s="57"/>
      <c r="H460" s="57"/>
      <c r="I460" s="57"/>
      <c r="J460" s="430"/>
    </row>
    <row r="461" spans="1:10" s="58" customFormat="1" ht="15.75" hidden="1" customHeight="1" x14ac:dyDescent="0.25">
      <c r="A461" s="53"/>
      <c r="B461" s="109"/>
      <c r="C461" s="53">
        <v>1</v>
      </c>
      <c r="D461" s="15" t="s">
        <v>293</v>
      </c>
      <c r="E461" s="12"/>
      <c r="F461" s="59">
        <v>3062</v>
      </c>
      <c r="G461" s="57"/>
      <c r="H461" s="57"/>
      <c r="I461" s="57"/>
      <c r="J461" s="430"/>
    </row>
    <row r="462" spans="1:10" s="58" customFormat="1" hidden="1" x14ac:dyDescent="0.25">
      <c r="A462" s="53"/>
      <c r="B462" s="109" t="s">
        <v>247</v>
      </c>
      <c r="C462" s="53">
        <v>1</v>
      </c>
      <c r="D462" s="60" t="s">
        <v>88</v>
      </c>
      <c r="E462" s="12"/>
      <c r="F462" s="429">
        <f>F463</f>
        <v>45000</v>
      </c>
      <c r="G462" s="57"/>
      <c r="H462" s="57"/>
      <c r="I462" s="57"/>
      <c r="J462" s="430"/>
    </row>
    <row r="463" spans="1:10" s="58" customFormat="1" hidden="1" x14ac:dyDescent="0.25">
      <c r="A463" s="53"/>
      <c r="B463" s="109" t="s">
        <v>247</v>
      </c>
      <c r="C463" s="53">
        <v>1</v>
      </c>
      <c r="D463" s="19" t="s">
        <v>145</v>
      </c>
      <c r="E463" s="12"/>
      <c r="F463" s="59">
        <v>45000</v>
      </c>
      <c r="G463" s="57"/>
      <c r="H463" s="57"/>
      <c r="I463" s="57"/>
      <c r="J463" s="430"/>
    </row>
    <row r="464" spans="1:10" s="58" customFormat="1" ht="47.25" hidden="1" x14ac:dyDescent="0.25">
      <c r="A464" s="53"/>
      <c r="B464" s="109" t="s">
        <v>247</v>
      </c>
      <c r="C464" s="53">
        <v>1</v>
      </c>
      <c r="D464" s="61" t="s">
        <v>292</v>
      </c>
      <c r="E464" s="12"/>
      <c r="F464" s="429">
        <f>F465+F470</f>
        <v>12551</v>
      </c>
      <c r="G464" s="57"/>
      <c r="H464" s="57"/>
      <c r="I464" s="57"/>
      <c r="J464" s="430"/>
    </row>
    <row r="465" spans="1:10" s="58" customFormat="1" ht="18" hidden="1" customHeight="1" x14ac:dyDescent="0.25">
      <c r="A465" s="53"/>
      <c r="B465" s="109" t="s">
        <v>247</v>
      </c>
      <c r="C465" s="53">
        <v>1</v>
      </c>
      <c r="D465" s="16" t="s">
        <v>189</v>
      </c>
      <c r="E465" s="12"/>
      <c r="F465" s="429">
        <f>F466+F467+F468+F469</f>
        <v>9278</v>
      </c>
      <c r="G465" s="57"/>
      <c r="H465" s="57"/>
      <c r="I465" s="57"/>
      <c r="J465" s="430"/>
    </row>
    <row r="466" spans="1:10" s="58" customFormat="1" ht="18" hidden="1" customHeight="1" x14ac:dyDescent="0.25">
      <c r="A466" s="53"/>
      <c r="B466" s="109" t="s">
        <v>247</v>
      </c>
      <c r="C466" s="53">
        <v>1</v>
      </c>
      <c r="D466" s="15" t="s">
        <v>190</v>
      </c>
      <c r="E466" s="12"/>
      <c r="F466" s="59">
        <v>9278</v>
      </c>
      <c r="G466" s="57"/>
      <c r="H466" s="57"/>
      <c r="I466" s="57"/>
      <c r="J466" s="430"/>
    </row>
    <row r="467" spans="1:10" s="58" customFormat="1" ht="45" hidden="1" x14ac:dyDescent="0.25">
      <c r="A467" s="53">
        <v>1</v>
      </c>
      <c r="B467" s="109" t="s">
        <v>247</v>
      </c>
      <c r="C467" s="53">
        <v>1</v>
      </c>
      <c r="D467" s="15" t="s">
        <v>191</v>
      </c>
      <c r="E467" s="62"/>
      <c r="F467" s="63"/>
      <c r="G467" s="57"/>
      <c r="H467" s="57"/>
      <c r="I467" s="57"/>
      <c r="J467" s="430"/>
    </row>
    <row r="468" spans="1:10" s="58" customFormat="1" ht="30" hidden="1" x14ac:dyDescent="0.25">
      <c r="A468" s="53">
        <v>1</v>
      </c>
      <c r="B468" s="109" t="s">
        <v>247</v>
      </c>
      <c r="C468" s="53">
        <v>1</v>
      </c>
      <c r="D468" s="15" t="s">
        <v>192</v>
      </c>
      <c r="E468" s="62"/>
      <c r="F468" s="63"/>
      <c r="G468" s="57"/>
      <c r="H468" s="57"/>
      <c r="I468" s="57"/>
      <c r="J468" s="430"/>
    </row>
    <row r="469" spans="1:10" s="58" customFormat="1" ht="30" hidden="1" x14ac:dyDescent="0.25">
      <c r="A469" s="53">
        <v>1</v>
      </c>
      <c r="B469" s="109" t="s">
        <v>247</v>
      </c>
      <c r="C469" s="53">
        <v>1</v>
      </c>
      <c r="D469" s="15" t="s">
        <v>193</v>
      </c>
      <c r="E469" s="62"/>
      <c r="F469" s="55"/>
      <c r="G469" s="57"/>
      <c r="H469" s="57"/>
      <c r="I469" s="57"/>
      <c r="J469" s="430"/>
    </row>
    <row r="470" spans="1:10" s="58" customFormat="1" ht="30" hidden="1" x14ac:dyDescent="0.25">
      <c r="A470" s="53">
        <v>1</v>
      </c>
      <c r="B470" s="109" t="s">
        <v>247</v>
      </c>
      <c r="C470" s="53">
        <v>1</v>
      </c>
      <c r="D470" s="16" t="s">
        <v>194</v>
      </c>
      <c r="E470" s="62"/>
      <c r="F470" s="398">
        <f>SUM(F471:F473)</f>
        <v>3273</v>
      </c>
      <c r="G470" s="57"/>
      <c r="H470" s="57"/>
      <c r="I470" s="57"/>
      <c r="J470" s="430"/>
    </row>
    <row r="471" spans="1:10" s="58" customFormat="1" ht="30" hidden="1" x14ac:dyDescent="0.25">
      <c r="A471" s="53">
        <v>1</v>
      </c>
      <c r="B471" s="109" t="s">
        <v>247</v>
      </c>
      <c r="C471" s="53">
        <v>1</v>
      </c>
      <c r="D471" s="15" t="s">
        <v>195</v>
      </c>
      <c r="E471" s="62"/>
      <c r="F471" s="55">
        <v>3273</v>
      </c>
      <c r="G471" s="57"/>
      <c r="H471" s="57"/>
      <c r="I471" s="57"/>
      <c r="J471" s="430"/>
    </row>
    <row r="472" spans="1:10" s="58" customFormat="1" ht="45" hidden="1" x14ac:dyDescent="0.25">
      <c r="A472" s="53">
        <v>1</v>
      </c>
      <c r="B472" s="109" t="s">
        <v>247</v>
      </c>
      <c r="C472" s="53">
        <v>1</v>
      </c>
      <c r="D472" s="15" t="s">
        <v>196</v>
      </c>
      <c r="E472" s="62"/>
      <c r="F472" s="433"/>
      <c r="G472" s="57"/>
      <c r="H472" s="57"/>
      <c r="I472" s="57"/>
      <c r="J472" s="430"/>
    </row>
    <row r="473" spans="1:10" ht="45" hidden="1" x14ac:dyDescent="0.25">
      <c r="A473" s="53">
        <v>1</v>
      </c>
      <c r="B473" s="109" t="s">
        <v>247</v>
      </c>
      <c r="C473" s="53">
        <v>1</v>
      </c>
      <c r="D473" s="15" t="s">
        <v>197</v>
      </c>
      <c r="E473" s="13"/>
      <c r="F473" s="55"/>
      <c r="G473" s="2"/>
      <c r="H473" s="2"/>
      <c r="I473" s="2"/>
    </row>
    <row r="474" spans="1:10" hidden="1" x14ac:dyDescent="0.25">
      <c r="A474" s="53"/>
      <c r="B474" s="109"/>
      <c r="C474" s="53">
        <v>1</v>
      </c>
      <c r="D474" s="12" t="s">
        <v>96</v>
      </c>
      <c r="E474" s="41"/>
      <c r="F474" s="55"/>
      <c r="G474" s="2"/>
      <c r="H474" s="2"/>
      <c r="I474" s="2"/>
    </row>
    <row r="475" spans="1:10" s="58" customFormat="1" hidden="1" x14ac:dyDescent="0.25">
      <c r="A475" s="53">
        <v>1</v>
      </c>
      <c r="B475" s="109" t="s">
        <v>247</v>
      </c>
      <c r="C475" s="53">
        <v>1</v>
      </c>
      <c r="D475" s="14" t="s">
        <v>296</v>
      </c>
      <c r="E475" s="281"/>
      <c r="F475" s="398">
        <f>F476+F477+F481+F482+F483+F484</f>
        <v>4341</v>
      </c>
      <c r="G475" s="57"/>
      <c r="H475" s="57"/>
      <c r="I475" s="57"/>
      <c r="J475" s="52"/>
    </row>
    <row r="476" spans="1:10" s="58" customFormat="1" hidden="1" x14ac:dyDescent="0.25">
      <c r="A476" s="53">
        <v>1</v>
      </c>
      <c r="B476" s="109" t="s">
        <v>247</v>
      </c>
      <c r="C476" s="53">
        <v>1</v>
      </c>
      <c r="D476" s="15" t="s">
        <v>297</v>
      </c>
      <c r="E476" s="64"/>
      <c r="F476" s="432"/>
      <c r="G476" s="65"/>
      <c r="H476" s="65"/>
      <c r="I476" s="43"/>
      <c r="J476" s="52"/>
    </row>
    <row r="477" spans="1:10" s="58" customFormat="1" ht="30" hidden="1" x14ac:dyDescent="0.25">
      <c r="A477" s="53">
        <v>1</v>
      </c>
      <c r="B477" s="109" t="s">
        <v>247</v>
      </c>
      <c r="C477" s="53">
        <v>1</v>
      </c>
      <c r="D477" s="16" t="s">
        <v>298</v>
      </c>
      <c r="E477" s="13"/>
      <c r="F477" s="55"/>
      <c r="G477" s="65"/>
      <c r="H477" s="65"/>
      <c r="I477" s="43"/>
      <c r="J477" s="52"/>
    </row>
    <row r="478" spans="1:10" s="124" customFormat="1" hidden="1" x14ac:dyDescent="0.25">
      <c r="A478" s="104"/>
      <c r="B478" s="109" t="s">
        <v>247</v>
      </c>
      <c r="C478" s="53">
        <v>1</v>
      </c>
      <c r="D478" s="15" t="s">
        <v>299</v>
      </c>
      <c r="E478" s="13"/>
      <c r="F478" s="17"/>
      <c r="G478" s="10"/>
      <c r="H478" s="10"/>
      <c r="I478" s="10"/>
      <c r="J478" s="52"/>
    </row>
    <row r="479" spans="1:10" s="58" customFormat="1" ht="30" hidden="1" x14ac:dyDescent="0.25">
      <c r="A479" s="53">
        <v>1</v>
      </c>
      <c r="B479" s="109" t="s">
        <v>247</v>
      </c>
      <c r="C479" s="53">
        <v>1</v>
      </c>
      <c r="D479" s="15" t="s">
        <v>300</v>
      </c>
      <c r="E479" s="13"/>
      <c r="F479" s="55"/>
      <c r="G479" s="65"/>
      <c r="H479" s="65"/>
      <c r="I479" s="43"/>
      <c r="J479" s="52"/>
    </row>
    <row r="480" spans="1:10" s="58" customFormat="1" ht="45" hidden="1" x14ac:dyDescent="0.25">
      <c r="A480" s="53">
        <v>1</v>
      </c>
      <c r="B480" s="109" t="s">
        <v>247</v>
      </c>
      <c r="C480" s="53">
        <v>1</v>
      </c>
      <c r="D480" s="15" t="s">
        <v>301</v>
      </c>
      <c r="E480" s="13"/>
      <c r="F480" s="55"/>
      <c r="G480" s="65"/>
      <c r="H480" s="65"/>
      <c r="I480" s="43"/>
      <c r="J480" s="52"/>
    </row>
    <row r="481" spans="1:10" s="58" customFormat="1" ht="45" hidden="1" x14ac:dyDescent="0.25">
      <c r="A481" s="53">
        <v>1</v>
      </c>
      <c r="B481" s="109" t="s">
        <v>247</v>
      </c>
      <c r="C481" s="53">
        <v>1</v>
      </c>
      <c r="D481" s="15" t="s">
        <v>309</v>
      </c>
      <c r="E481" s="13"/>
      <c r="F481" s="63"/>
      <c r="G481" s="65"/>
      <c r="H481" s="65"/>
      <c r="I481" s="43"/>
      <c r="J481" s="52"/>
    </row>
    <row r="482" spans="1:10" s="58" customFormat="1" ht="45" hidden="1" x14ac:dyDescent="0.25">
      <c r="A482" s="53">
        <v>1</v>
      </c>
      <c r="B482" s="109" t="s">
        <v>247</v>
      </c>
      <c r="C482" s="53">
        <v>1</v>
      </c>
      <c r="D482" s="18" t="s">
        <v>310</v>
      </c>
      <c r="E482" s="13"/>
      <c r="F482" s="63"/>
      <c r="G482" s="65"/>
      <c r="H482" s="65"/>
      <c r="I482" s="43"/>
      <c r="J482" s="52"/>
    </row>
    <row r="483" spans="1:10" s="58" customFormat="1" ht="75" hidden="1" x14ac:dyDescent="0.25">
      <c r="A483" s="53"/>
      <c r="B483" s="109"/>
      <c r="C483" s="53">
        <v>1</v>
      </c>
      <c r="D483" s="18" t="s">
        <v>354</v>
      </c>
      <c r="E483" s="13"/>
      <c r="F483" s="55">
        <v>500</v>
      </c>
      <c r="G483" s="65"/>
      <c r="H483" s="65"/>
      <c r="I483" s="43"/>
      <c r="J483" s="52"/>
    </row>
    <row r="484" spans="1:10" s="58" customFormat="1" ht="28.5" hidden="1" x14ac:dyDescent="0.25">
      <c r="A484" s="53"/>
      <c r="B484" s="109"/>
      <c r="C484" s="53">
        <v>1</v>
      </c>
      <c r="D484" s="66" t="s">
        <v>344</v>
      </c>
      <c r="E484" s="13"/>
      <c r="F484" s="55">
        <f>F485</f>
        <v>3841</v>
      </c>
      <c r="G484" s="59"/>
      <c r="H484" s="59"/>
      <c r="I484" s="81"/>
      <c r="J484" s="52"/>
    </row>
    <row r="485" spans="1:10" s="58" customFormat="1" hidden="1" x14ac:dyDescent="0.25">
      <c r="A485" s="53"/>
      <c r="B485" s="109"/>
      <c r="C485" s="53">
        <v>1</v>
      </c>
      <c r="D485" s="18" t="s">
        <v>345</v>
      </c>
      <c r="E485" s="13"/>
      <c r="F485" s="55">
        <v>3841</v>
      </c>
      <c r="G485" s="59"/>
      <c r="H485" s="59"/>
      <c r="I485" s="81"/>
      <c r="J485" s="52"/>
    </row>
    <row r="486" spans="1:10" s="58" customFormat="1" ht="28.5" hidden="1" x14ac:dyDescent="0.25">
      <c r="A486" s="53"/>
      <c r="B486" s="109"/>
      <c r="C486" s="53">
        <v>1</v>
      </c>
      <c r="D486" s="66" t="s">
        <v>346</v>
      </c>
      <c r="E486" s="13"/>
      <c r="F486" s="55"/>
      <c r="G486" s="59"/>
      <c r="H486" s="59"/>
      <c r="I486" s="81"/>
      <c r="J486" s="52"/>
    </row>
    <row r="487" spans="1:10" s="58" customFormat="1" hidden="1" x14ac:dyDescent="0.25">
      <c r="A487" s="53">
        <v>1</v>
      </c>
      <c r="B487" s="109" t="s">
        <v>247</v>
      </c>
      <c r="C487" s="53">
        <v>1</v>
      </c>
      <c r="D487" s="14" t="s">
        <v>303</v>
      </c>
      <c r="E487" s="13"/>
      <c r="F487" s="63"/>
      <c r="G487" s="65"/>
      <c r="H487" s="65"/>
      <c r="I487" s="43"/>
      <c r="J487" s="52"/>
    </row>
    <row r="488" spans="1:10" s="58" customFormat="1" hidden="1" x14ac:dyDescent="0.25">
      <c r="A488" s="53">
        <v>1</v>
      </c>
      <c r="B488" s="109" t="s">
        <v>247</v>
      </c>
      <c r="C488" s="53">
        <v>1</v>
      </c>
      <c r="D488" s="14" t="s">
        <v>304</v>
      </c>
      <c r="E488" s="13"/>
      <c r="F488" s="63"/>
      <c r="G488" s="65"/>
      <c r="H488" s="65"/>
      <c r="I488" s="43"/>
      <c r="J488" s="52"/>
    </row>
    <row r="489" spans="1:10" s="58" customFormat="1" hidden="1" x14ac:dyDescent="0.25">
      <c r="A489" s="53">
        <v>1</v>
      </c>
      <c r="B489" s="109" t="s">
        <v>247</v>
      </c>
      <c r="C489" s="53">
        <v>1</v>
      </c>
      <c r="D489" s="15" t="s">
        <v>305</v>
      </c>
      <c r="E489" s="13"/>
      <c r="F489" s="75"/>
      <c r="G489" s="65"/>
      <c r="H489" s="65"/>
      <c r="I489" s="43"/>
      <c r="J489" s="52"/>
    </row>
    <row r="490" spans="1:10" s="58" customFormat="1" ht="29.25" hidden="1" x14ac:dyDescent="0.25">
      <c r="A490" s="53">
        <v>1</v>
      </c>
      <c r="B490" s="109" t="s">
        <v>247</v>
      </c>
      <c r="C490" s="53">
        <v>1</v>
      </c>
      <c r="D490" s="14" t="s">
        <v>306</v>
      </c>
      <c r="E490" s="13"/>
      <c r="F490" s="55">
        <v>14000</v>
      </c>
      <c r="G490" s="65"/>
      <c r="H490" s="65"/>
      <c r="I490" s="43"/>
      <c r="J490" s="52"/>
    </row>
    <row r="491" spans="1:10" s="58" customFormat="1" hidden="1" x14ac:dyDescent="0.25">
      <c r="A491" s="53">
        <v>1</v>
      </c>
      <c r="B491" s="109" t="s">
        <v>247</v>
      </c>
      <c r="C491" s="53">
        <v>1</v>
      </c>
      <c r="D491" s="19" t="s">
        <v>115</v>
      </c>
      <c r="E491" s="13"/>
      <c r="F491" s="55"/>
      <c r="G491" s="65"/>
      <c r="H491" s="65"/>
      <c r="I491" s="43"/>
      <c r="J491" s="52"/>
    </row>
    <row r="492" spans="1:10" s="58" customFormat="1" hidden="1" x14ac:dyDescent="0.25">
      <c r="A492" s="53">
        <v>1</v>
      </c>
      <c r="B492" s="109" t="s">
        <v>247</v>
      </c>
      <c r="C492" s="53">
        <v>1</v>
      </c>
      <c r="D492" s="20" t="s">
        <v>158</v>
      </c>
      <c r="E492" s="13"/>
      <c r="F492" s="498">
        <f>SUM(F493:F497)</f>
        <v>3650</v>
      </c>
      <c r="G492" s="65"/>
      <c r="H492" s="65"/>
      <c r="I492" s="43"/>
      <c r="J492" s="52"/>
    </row>
    <row r="493" spans="1:10" s="58" customFormat="1" hidden="1" x14ac:dyDescent="0.25">
      <c r="A493" s="53"/>
      <c r="B493" s="109"/>
      <c r="C493" s="53">
        <v>1</v>
      </c>
      <c r="D493" s="74" t="s">
        <v>166</v>
      </c>
      <c r="E493" s="13"/>
      <c r="F493" s="55">
        <v>50</v>
      </c>
      <c r="G493" s="465"/>
      <c r="H493" s="465"/>
      <c r="I493" s="29"/>
      <c r="J493" s="52"/>
    </row>
    <row r="494" spans="1:10" s="58" customFormat="1" ht="30" hidden="1" x14ac:dyDescent="0.25">
      <c r="A494" s="53"/>
      <c r="B494" s="109"/>
      <c r="C494" s="53">
        <v>1</v>
      </c>
      <c r="D494" s="74" t="s">
        <v>150</v>
      </c>
      <c r="E494" s="13"/>
      <c r="F494" s="55">
        <v>500</v>
      </c>
      <c r="G494" s="465"/>
      <c r="H494" s="465"/>
      <c r="I494" s="29"/>
      <c r="J494" s="52"/>
    </row>
    <row r="495" spans="1:10" s="58" customFormat="1" ht="30" hidden="1" x14ac:dyDescent="0.25">
      <c r="A495" s="53"/>
      <c r="B495" s="109" t="s">
        <v>247</v>
      </c>
      <c r="C495" s="53">
        <v>1</v>
      </c>
      <c r="D495" s="74" t="s">
        <v>203</v>
      </c>
      <c r="E495" s="13"/>
      <c r="F495" s="55">
        <v>1200</v>
      </c>
      <c r="G495" s="465"/>
      <c r="H495" s="465"/>
      <c r="I495" s="29"/>
      <c r="J495" s="52"/>
    </row>
    <row r="496" spans="1:10" s="58" customFormat="1" hidden="1" x14ac:dyDescent="0.25">
      <c r="A496" s="53"/>
      <c r="B496" s="109"/>
      <c r="C496" s="53">
        <v>1</v>
      </c>
      <c r="D496" s="499" t="s">
        <v>118</v>
      </c>
      <c r="E496" s="13"/>
      <c r="F496" s="55">
        <v>900</v>
      </c>
      <c r="G496" s="465"/>
      <c r="H496" s="465"/>
      <c r="I496" s="29"/>
      <c r="J496" s="52"/>
    </row>
    <row r="497" spans="1:10" s="58" customFormat="1" hidden="1" x14ac:dyDescent="0.25">
      <c r="A497" s="53">
        <v>1</v>
      </c>
      <c r="B497" s="109" t="s">
        <v>247</v>
      </c>
      <c r="C497" s="53">
        <v>1</v>
      </c>
      <c r="D497" s="499" t="s">
        <v>31</v>
      </c>
      <c r="E497" s="13"/>
      <c r="F497" s="55">
        <v>1000</v>
      </c>
      <c r="G497" s="465"/>
      <c r="H497" s="465"/>
      <c r="I497" s="29"/>
      <c r="J497" s="52"/>
    </row>
    <row r="498" spans="1:10" s="58" customFormat="1" hidden="1" x14ac:dyDescent="0.25">
      <c r="A498" s="53"/>
      <c r="B498" s="109" t="s">
        <v>247</v>
      </c>
      <c r="C498" s="53">
        <v>1</v>
      </c>
      <c r="D498" s="21" t="s">
        <v>198</v>
      </c>
      <c r="E498" s="13"/>
      <c r="F498" s="398">
        <f>F475+F454</f>
        <v>48523</v>
      </c>
      <c r="G498" s="465"/>
      <c r="H498" s="465"/>
      <c r="I498" s="29"/>
      <c r="J498" s="430"/>
    </row>
    <row r="499" spans="1:10" s="58" customFormat="1" ht="29.25" hidden="1" x14ac:dyDescent="0.25">
      <c r="A499" s="53"/>
      <c r="B499" s="109" t="s">
        <v>247</v>
      </c>
      <c r="C499" s="53">
        <v>1</v>
      </c>
      <c r="D499" s="21" t="s">
        <v>199</v>
      </c>
      <c r="E499" s="13"/>
      <c r="F499" s="398">
        <f>F464</f>
        <v>12551</v>
      </c>
      <c r="G499" s="465"/>
      <c r="H499" s="465"/>
      <c r="I499" s="29"/>
      <c r="J499" s="430"/>
    </row>
    <row r="500" spans="1:10" s="58" customFormat="1" hidden="1" x14ac:dyDescent="0.25">
      <c r="A500" s="53"/>
      <c r="B500" s="109" t="s">
        <v>247</v>
      </c>
      <c r="C500" s="53">
        <v>1</v>
      </c>
      <c r="D500" s="21" t="s">
        <v>200</v>
      </c>
      <c r="E500" s="13"/>
      <c r="F500" s="398">
        <f>F487+F462</f>
        <v>45000</v>
      </c>
      <c r="G500" s="465"/>
      <c r="H500" s="465"/>
      <c r="I500" s="29"/>
      <c r="J500" s="430"/>
    </row>
    <row r="501" spans="1:10" s="58" customFormat="1" ht="29.25" hidden="1" x14ac:dyDescent="0.25">
      <c r="A501" s="53"/>
      <c r="B501" s="109" t="s">
        <v>247</v>
      </c>
      <c r="C501" s="53">
        <v>1</v>
      </c>
      <c r="D501" s="21" t="s">
        <v>201</v>
      </c>
      <c r="E501" s="13"/>
      <c r="F501" s="398">
        <f>F490</f>
        <v>14000</v>
      </c>
      <c r="G501" s="465"/>
      <c r="H501" s="465"/>
      <c r="I501" s="29"/>
      <c r="J501" s="430"/>
    </row>
    <row r="502" spans="1:10" s="58" customFormat="1" hidden="1" x14ac:dyDescent="0.25">
      <c r="A502" s="53"/>
      <c r="B502" s="109" t="s">
        <v>247</v>
      </c>
      <c r="C502" s="53">
        <v>1</v>
      </c>
      <c r="D502" s="22" t="s">
        <v>109</v>
      </c>
      <c r="E502" s="13"/>
      <c r="F502" s="398">
        <f>F499+F498+F501+F500*2.9</f>
        <v>205574</v>
      </c>
      <c r="G502" s="465"/>
      <c r="H502" s="465"/>
      <c r="I502" s="29"/>
      <c r="J502" s="430"/>
    </row>
    <row r="503" spans="1:10" hidden="1" x14ac:dyDescent="0.25">
      <c r="A503" s="53">
        <v>1</v>
      </c>
      <c r="B503" s="109" t="s">
        <v>247</v>
      </c>
      <c r="C503" s="53">
        <v>1</v>
      </c>
      <c r="D503" s="44" t="s">
        <v>7</v>
      </c>
      <c r="E503" s="13"/>
      <c r="F503" s="55"/>
      <c r="G503" s="2"/>
      <c r="H503" s="2"/>
      <c r="I503" s="2"/>
    </row>
    <row r="504" spans="1:10" hidden="1" x14ac:dyDescent="0.25">
      <c r="A504" s="53">
        <v>1</v>
      </c>
      <c r="B504" s="109" t="s">
        <v>247</v>
      </c>
      <c r="C504" s="53">
        <v>1</v>
      </c>
      <c r="D504" s="306" t="s">
        <v>71</v>
      </c>
      <c r="E504" s="13"/>
      <c r="F504" s="55"/>
      <c r="G504" s="2"/>
      <c r="H504" s="2"/>
      <c r="I504" s="2"/>
    </row>
    <row r="505" spans="1:10" hidden="1" x14ac:dyDescent="0.25">
      <c r="A505" s="53">
        <v>1</v>
      </c>
      <c r="B505" s="109" t="s">
        <v>247</v>
      </c>
      <c r="C505" s="53">
        <v>1</v>
      </c>
      <c r="D505" s="439" t="s">
        <v>35</v>
      </c>
      <c r="E505" s="54">
        <v>240</v>
      </c>
      <c r="F505" s="55">
        <v>2000</v>
      </c>
      <c r="G505" s="47">
        <v>8</v>
      </c>
      <c r="H505" s="2">
        <f>ROUND(I505/E505,0)</f>
        <v>67</v>
      </c>
      <c r="I505" s="2">
        <f>ROUND(F505*G505,0)</f>
        <v>16000</v>
      </c>
    </row>
    <row r="506" spans="1:10" hidden="1" x14ac:dyDescent="0.25">
      <c r="A506" s="53">
        <v>1</v>
      </c>
      <c r="B506" s="109" t="s">
        <v>247</v>
      </c>
      <c r="C506" s="53">
        <v>1</v>
      </c>
      <c r="D506" s="497" t="s">
        <v>92</v>
      </c>
      <c r="E506" s="13"/>
      <c r="F506" s="459">
        <f>SUM(F505)</f>
        <v>2000</v>
      </c>
      <c r="G506" s="143">
        <f>I506/F506</f>
        <v>8</v>
      </c>
      <c r="H506" s="31">
        <f>H504+H505</f>
        <v>67</v>
      </c>
      <c r="I506" s="31">
        <f>I504+I505</f>
        <v>16000</v>
      </c>
    </row>
    <row r="507" spans="1:10" hidden="1" x14ac:dyDescent="0.25">
      <c r="A507" s="53">
        <v>1</v>
      </c>
      <c r="B507" s="109" t="s">
        <v>247</v>
      </c>
      <c r="C507" s="53">
        <v>1</v>
      </c>
      <c r="D507" s="500" t="s">
        <v>86</v>
      </c>
      <c r="E507" s="69"/>
      <c r="F507" s="446">
        <f>F506</f>
        <v>2000</v>
      </c>
      <c r="G507" s="143">
        <f>I507/F507</f>
        <v>8</v>
      </c>
      <c r="H507" s="302">
        <f>H506</f>
        <v>67</v>
      </c>
      <c r="I507" s="302">
        <f>I506</f>
        <v>16000</v>
      </c>
    </row>
    <row r="508" spans="1:10" ht="15.75" hidden="1" thickBot="1" x14ac:dyDescent="0.3">
      <c r="A508" s="53">
        <v>1</v>
      </c>
      <c r="B508" s="109" t="s">
        <v>247</v>
      </c>
      <c r="C508" s="53">
        <v>1</v>
      </c>
      <c r="D508" s="417" t="s">
        <v>220</v>
      </c>
      <c r="E508" s="418"/>
      <c r="F508" s="494"/>
      <c r="G508" s="418"/>
      <c r="H508" s="418"/>
      <c r="I508" s="418"/>
    </row>
    <row r="509" spans="1:10" hidden="1" x14ac:dyDescent="0.25">
      <c r="A509" s="53">
        <v>1</v>
      </c>
      <c r="B509" s="53"/>
      <c r="C509" s="53">
        <v>1</v>
      </c>
      <c r="D509" s="451"/>
      <c r="E509" s="495"/>
      <c r="F509" s="55"/>
      <c r="G509" s="2"/>
      <c r="H509" s="2"/>
      <c r="I509" s="2"/>
    </row>
    <row r="510" spans="1:10" ht="29.25" hidden="1" x14ac:dyDescent="0.25">
      <c r="A510" s="109" t="s">
        <v>248</v>
      </c>
      <c r="B510" s="109" t="s">
        <v>248</v>
      </c>
      <c r="C510" s="53">
        <v>1</v>
      </c>
      <c r="D510" s="674" t="s">
        <v>390</v>
      </c>
      <c r="E510" s="68"/>
      <c r="F510" s="55"/>
      <c r="G510" s="2"/>
      <c r="H510" s="2"/>
      <c r="I510" s="2"/>
    </row>
    <row r="511" spans="1:10" hidden="1" x14ac:dyDescent="0.25">
      <c r="A511" s="109" t="s">
        <v>248</v>
      </c>
      <c r="B511" s="109" t="s">
        <v>248</v>
      </c>
      <c r="C511" s="53">
        <v>1</v>
      </c>
      <c r="D511" s="395" t="s">
        <v>4</v>
      </c>
      <c r="E511" s="68"/>
      <c r="F511" s="55"/>
      <c r="G511" s="2"/>
      <c r="H511" s="2"/>
      <c r="I511" s="2"/>
    </row>
    <row r="512" spans="1:10" hidden="1" x14ac:dyDescent="0.25">
      <c r="A512" s="109" t="s">
        <v>248</v>
      </c>
      <c r="B512" s="109" t="s">
        <v>248</v>
      </c>
      <c r="C512" s="53">
        <v>1</v>
      </c>
      <c r="D512" s="396" t="s">
        <v>21</v>
      </c>
      <c r="E512" s="54">
        <v>340</v>
      </c>
      <c r="F512" s="55">
        <v>290</v>
      </c>
      <c r="G512" s="47">
        <v>3.2</v>
      </c>
      <c r="H512" s="2">
        <f>ROUND(I512/E512,0)</f>
        <v>3</v>
      </c>
      <c r="I512" s="2">
        <f>ROUND(F512*G512,0)</f>
        <v>928</v>
      </c>
    </row>
    <row r="513" spans="1:10" hidden="1" x14ac:dyDescent="0.25">
      <c r="A513" s="109" t="s">
        <v>248</v>
      </c>
      <c r="B513" s="109" t="s">
        <v>248</v>
      </c>
      <c r="C513" s="53">
        <v>1</v>
      </c>
      <c r="D513" s="396" t="s">
        <v>10</v>
      </c>
      <c r="E513" s="54">
        <v>340</v>
      </c>
      <c r="F513" s="55">
        <v>294</v>
      </c>
      <c r="G513" s="47">
        <v>3.8</v>
      </c>
      <c r="H513" s="2">
        <f>ROUND(I513/E513,0)</f>
        <v>3</v>
      </c>
      <c r="I513" s="2">
        <f>ROUND(F513*G513,0)</f>
        <v>1117</v>
      </c>
    </row>
    <row r="514" spans="1:10" hidden="1" x14ac:dyDescent="0.25">
      <c r="A514" s="109" t="s">
        <v>248</v>
      </c>
      <c r="B514" s="109" t="s">
        <v>248</v>
      </c>
      <c r="C514" s="53">
        <v>1</v>
      </c>
      <c r="D514" s="397" t="s">
        <v>5</v>
      </c>
      <c r="E514" s="68"/>
      <c r="F514" s="398">
        <f>SUM(F512:F513)</f>
        <v>584</v>
      </c>
      <c r="G514" s="143">
        <f>I514/F514</f>
        <v>3.5017123287671232</v>
      </c>
      <c r="H514" s="29">
        <f>H512+H513</f>
        <v>6</v>
      </c>
      <c r="I514" s="29">
        <f>I512+I513</f>
        <v>2045</v>
      </c>
    </row>
    <row r="515" spans="1:10" s="58" customFormat="1" ht="48" hidden="1" customHeight="1" x14ac:dyDescent="0.25">
      <c r="A515" s="109" t="s">
        <v>248</v>
      </c>
      <c r="B515" s="109" t="s">
        <v>248</v>
      </c>
      <c r="C515" s="53">
        <v>1</v>
      </c>
      <c r="D515" s="101" t="s">
        <v>294</v>
      </c>
      <c r="E515" s="12"/>
      <c r="F515" s="429"/>
      <c r="G515" s="57"/>
      <c r="H515" s="57"/>
      <c r="I515" s="57"/>
      <c r="J515" s="430"/>
    </row>
    <row r="516" spans="1:10" s="58" customFormat="1" hidden="1" x14ac:dyDescent="0.25">
      <c r="A516" s="109" t="s">
        <v>248</v>
      </c>
      <c r="B516" s="109" t="s">
        <v>248</v>
      </c>
      <c r="C516" s="53">
        <v>1</v>
      </c>
      <c r="D516" s="14" t="s">
        <v>187</v>
      </c>
      <c r="E516" s="12"/>
      <c r="F516" s="429">
        <f>F517+F518+F519+F521+F523</f>
        <v>47546</v>
      </c>
      <c r="G516" s="57">
        <v>47546</v>
      </c>
      <c r="H516" s="57"/>
      <c r="I516" s="57"/>
      <c r="J516" s="430"/>
    </row>
    <row r="517" spans="1:10" s="58" customFormat="1" hidden="1" x14ac:dyDescent="0.25">
      <c r="A517" s="109" t="s">
        <v>248</v>
      </c>
      <c r="B517" s="109" t="s">
        <v>248</v>
      </c>
      <c r="C517" s="53">
        <v>1</v>
      </c>
      <c r="D517" s="18" t="s">
        <v>113</v>
      </c>
      <c r="E517" s="12"/>
      <c r="F517" s="59">
        <v>3000</v>
      </c>
      <c r="G517" s="57"/>
      <c r="H517" s="57"/>
      <c r="I517" s="57"/>
      <c r="J517" s="430"/>
    </row>
    <row r="518" spans="1:10" s="58" customFormat="1" ht="30" hidden="1" x14ac:dyDescent="0.25">
      <c r="A518" s="109" t="s">
        <v>248</v>
      </c>
      <c r="B518" s="109" t="s">
        <v>248</v>
      </c>
      <c r="C518" s="53">
        <v>1</v>
      </c>
      <c r="D518" s="18" t="s">
        <v>114</v>
      </c>
      <c r="E518" s="12"/>
      <c r="F518" s="59">
        <v>23950</v>
      </c>
      <c r="G518" s="57"/>
      <c r="H518" s="57"/>
      <c r="I518" s="57"/>
      <c r="J518" s="430"/>
    </row>
    <row r="519" spans="1:10" s="58" customFormat="1" ht="30" hidden="1" x14ac:dyDescent="0.25">
      <c r="A519" s="109" t="s">
        <v>248</v>
      </c>
      <c r="B519" s="109" t="s">
        <v>248</v>
      </c>
      <c r="C519" s="53">
        <v>1</v>
      </c>
      <c r="D519" s="15" t="s">
        <v>361</v>
      </c>
      <c r="E519" s="12"/>
      <c r="F519" s="59">
        <v>4000</v>
      </c>
      <c r="G519" s="57"/>
      <c r="H519" s="57"/>
      <c r="I519" s="57"/>
      <c r="J519" s="430"/>
    </row>
    <row r="520" spans="1:10" s="58" customFormat="1" ht="45" hidden="1" x14ac:dyDescent="0.25">
      <c r="A520" s="109" t="s">
        <v>248</v>
      </c>
      <c r="B520" s="109" t="s">
        <v>248</v>
      </c>
      <c r="C520" s="53">
        <v>1</v>
      </c>
      <c r="D520" s="15" t="s">
        <v>219</v>
      </c>
      <c r="E520" s="12"/>
      <c r="F520" s="429"/>
      <c r="G520" s="57"/>
      <c r="H520" s="57"/>
      <c r="I520" s="57"/>
      <c r="J520" s="430"/>
    </row>
    <row r="521" spans="1:10" s="58" customFormat="1" ht="45" hidden="1" x14ac:dyDescent="0.25">
      <c r="A521" s="109" t="s">
        <v>248</v>
      </c>
      <c r="B521" s="109" t="s">
        <v>248</v>
      </c>
      <c r="C521" s="53">
        <v>1</v>
      </c>
      <c r="D521" s="15" t="s">
        <v>188</v>
      </c>
      <c r="E521" s="12"/>
      <c r="F521" s="59">
        <v>12000</v>
      </c>
      <c r="G521" s="57"/>
      <c r="H521" s="57"/>
      <c r="I521" s="57"/>
      <c r="J521" s="430"/>
    </row>
    <row r="522" spans="1:10" s="58" customFormat="1" ht="75" hidden="1" x14ac:dyDescent="0.25">
      <c r="A522" s="109"/>
      <c r="B522" s="109"/>
      <c r="C522" s="53">
        <v>1</v>
      </c>
      <c r="D522" s="15" t="s">
        <v>353</v>
      </c>
      <c r="E522" s="12"/>
      <c r="F522" s="59">
        <v>8000</v>
      </c>
      <c r="G522" s="57"/>
      <c r="H522" s="57"/>
      <c r="I522" s="57"/>
      <c r="J522" s="430"/>
    </row>
    <row r="523" spans="1:10" s="58" customFormat="1" ht="30" hidden="1" x14ac:dyDescent="0.25">
      <c r="A523" s="109"/>
      <c r="B523" s="109"/>
      <c r="C523" s="53">
        <v>1</v>
      </c>
      <c r="D523" s="15" t="s">
        <v>293</v>
      </c>
      <c r="E523" s="12"/>
      <c r="F523" s="59">
        <v>4596</v>
      </c>
      <c r="G523" s="57"/>
      <c r="H523" s="57"/>
      <c r="I523" s="57"/>
      <c r="J523" s="430"/>
    </row>
    <row r="524" spans="1:10" s="58" customFormat="1" hidden="1" x14ac:dyDescent="0.25">
      <c r="A524" s="109" t="s">
        <v>248</v>
      </c>
      <c r="B524" s="109" t="s">
        <v>248</v>
      </c>
      <c r="C524" s="53">
        <v>1</v>
      </c>
      <c r="D524" s="60" t="s">
        <v>88</v>
      </c>
      <c r="E524" s="12"/>
      <c r="F524" s="429">
        <f>F525</f>
        <v>68960</v>
      </c>
      <c r="G524" s="57"/>
      <c r="H524" s="57"/>
      <c r="I524" s="57"/>
      <c r="J524" s="430"/>
    </row>
    <row r="525" spans="1:10" s="58" customFormat="1" hidden="1" x14ac:dyDescent="0.25">
      <c r="A525" s="109" t="s">
        <v>248</v>
      </c>
      <c r="B525" s="109" t="s">
        <v>248</v>
      </c>
      <c r="C525" s="53">
        <v>1</v>
      </c>
      <c r="D525" s="19" t="s">
        <v>145</v>
      </c>
      <c r="E525" s="12"/>
      <c r="F525" s="59">
        <v>68960</v>
      </c>
      <c r="G525" s="57"/>
      <c r="H525" s="57"/>
      <c r="I525" s="57"/>
      <c r="J525" s="430"/>
    </row>
    <row r="526" spans="1:10" s="58" customFormat="1" ht="47.25" hidden="1" x14ac:dyDescent="0.25">
      <c r="A526" s="109" t="s">
        <v>248</v>
      </c>
      <c r="B526" s="109" t="s">
        <v>248</v>
      </c>
      <c r="C526" s="53">
        <v>1</v>
      </c>
      <c r="D526" s="61" t="s">
        <v>292</v>
      </c>
      <c r="E526" s="12"/>
      <c r="F526" s="429">
        <f>F527+F532</f>
        <v>18847</v>
      </c>
      <c r="G526" s="57"/>
      <c r="H526" s="57"/>
      <c r="I526" s="57"/>
      <c r="J526" s="430"/>
    </row>
    <row r="527" spans="1:10" s="58" customFormat="1" ht="18" hidden="1" customHeight="1" x14ac:dyDescent="0.25">
      <c r="A527" s="109" t="s">
        <v>248</v>
      </c>
      <c r="B527" s="109" t="s">
        <v>248</v>
      </c>
      <c r="C527" s="53">
        <v>1</v>
      </c>
      <c r="D527" s="16" t="s">
        <v>189</v>
      </c>
      <c r="E527" s="62"/>
      <c r="F527" s="63">
        <f>SUM(F528:F531)</f>
        <v>13928</v>
      </c>
      <c r="G527" s="57"/>
      <c r="H527" s="57"/>
      <c r="I527" s="57"/>
      <c r="J527" s="430"/>
    </row>
    <row r="528" spans="1:10" s="58" customFormat="1" ht="16.5" hidden="1" customHeight="1" x14ac:dyDescent="0.25">
      <c r="A528" s="109" t="s">
        <v>248</v>
      </c>
      <c r="B528" s="109" t="s">
        <v>248</v>
      </c>
      <c r="C528" s="53">
        <v>1</v>
      </c>
      <c r="D528" s="15" t="s">
        <v>190</v>
      </c>
      <c r="E528" s="62"/>
      <c r="F528" s="63">
        <v>13928</v>
      </c>
      <c r="G528" s="57"/>
      <c r="H528" s="57"/>
      <c r="I528" s="57"/>
      <c r="J528" s="430"/>
    </row>
    <row r="529" spans="1:10" s="58" customFormat="1" ht="45" hidden="1" x14ac:dyDescent="0.25">
      <c r="A529" s="109" t="s">
        <v>248</v>
      </c>
      <c r="B529" s="109" t="s">
        <v>248</v>
      </c>
      <c r="C529" s="53">
        <v>1</v>
      </c>
      <c r="D529" s="15" t="s">
        <v>191</v>
      </c>
      <c r="E529" s="62"/>
      <c r="F529" s="55"/>
      <c r="G529" s="57"/>
      <c r="H529" s="57"/>
      <c r="I529" s="57"/>
      <c r="J529" s="430"/>
    </row>
    <row r="530" spans="1:10" s="58" customFormat="1" ht="30" hidden="1" x14ac:dyDescent="0.25">
      <c r="A530" s="109" t="s">
        <v>248</v>
      </c>
      <c r="B530" s="109" t="s">
        <v>248</v>
      </c>
      <c r="C530" s="53">
        <v>1</v>
      </c>
      <c r="D530" s="15" t="s">
        <v>192</v>
      </c>
      <c r="E530" s="62"/>
      <c r="F530" s="55"/>
      <c r="G530" s="57"/>
      <c r="H530" s="57"/>
      <c r="I530" s="57"/>
      <c r="J530" s="430"/>
    </row>
    <row r="531" spans="1:10" s="58" customFormat="1" ht="30" hidden="1" x14ac:dyDescent="0.25">
      <c r="A531" s="109" t="s">
        <v>248</v>
      </c>
      <c r="B531" s="109" t="s">
        <v>248</v>
      </c>
      <c r="C531" s="53">
        <v>1</v>
      </c>
      <c r="D531" s="15" t="s">
        <v>193</v>
      </c>
      <c r="E531" s="62"/>
      <c r="F531" s="55"/>
      <c r="G531" s="57"/>
      <c r="H531" s="57"/>
      <c r="I531" s="57"/>
      <c r="J531" s="430"/>
    </row>
    <row r="532" spans="1:10" s="58" customFormat="1" ht="30" hidden="1" x14ac:dyDescent="0.25">
      <c r="A532" s="109" t="s">
        <v>248</v>
      </c>
      <c r="B532" s="109" t="s">
        <v>248</v>
      </c>
      <c r="C532" s="53">
        <v>1</v>
      </c>
      <c r="D532" s="16" t="s">
        <v>194</v>
      </c>
      <c r="E532" s="62"/>
      <c r="F532" s="433">
        <f>SUM(F533:F535)</f>
        <v>4919</v>
      </c>
      <c r="G532" s="57"/>
      <c r="H532" s="57"/>
      <c r="I532" s="57"/>
      <c r="J532" s="430"/>
    </row>
    <row r="533" spans="1:10" ht="30" hidden="1" x14ac:dyDescent="0.25">
      <c r="A533" s="109" t="s">
        <v>248</v>
      </c>
      <c r="B533" s="109" t="s">
        <v>248</v>
      </c>
      <c r="C533" s="53">
        <v>1</v>
      </c>
      <c r="D533" s="15" t="s">
        <v>195</v>
      </c>
      <c r="E533" s="13"/>
      <c r="F533" s="55">
        <v>4919</v>
      </c>
      <c r="G533" s="425"/>
      <c r="H533" s="425"/>
      <c r="I533" s="2"/>
    </row>
    <row r="534" spans="1:10" s="58" customFormat="1" ht="45" hidden="1" x14ac:dyDescent="0.25">
      <c r="A534" s="109" t="s">
        <v>248</v>
      </c>
      <c r="B534" s="109" t="s">
        <v>248</v>
      </c>
      <c r="C534" s="53">
        <v>1</v>
      </c>
      <c r="D534" s="15" t="s">
        <v>196</v>
      </c>
      <c r="E534" s="281"/>
      <c r="F534" s="55"/>
      <c r="G534" s="57"/>
      <c r="H534" s="57"/>
      <c r="I534" s="57"/>
      <c r="J534" s="430"/>
    </row>
    <row r="535" spans="1:10" s="58" customFormat="1" ht="45" hidden="1" x14ac:dyDescent="0.25">
      <c r="A535" s="109" t="s">
        <v>248</v>
      </c>
      <c r="B535" s="109" t="s">
        <v>248</v>
      </c>
      <c r="C535" s="53">
        <v>1</v>
      </c>
      <c r="D535" s="15" t="s">
        <v>197</v>
      </c>
      <c r="E535" s="64"/>
      <c r="F535" s="63"/>
      <c r="G535" s="65"/>
      <c r="H535" s="65"/>
      <c r="I535" s="43"/>
      <c r="J535" s="430"/>
    </row>
    <row r="536" spans="1:10" s="58" customFormat="1" hidden="1" x14ac:dyDescent="0.25">
      <c r="A536" s="109"/>
      <c r="B536" s="109"/>
      <c r="C536" s="53">
        <v>1</v>
      </c>
      <c r="D536" s="12" t="s">
        <v>96</v>
      </c>
      <c r="E536" s="64"/>
      <c r="F536" s="75"/>
      <c r="G536" s="65"/>
      <c r="H536" s="65"/>
      <c r="I536" s="43"/>
      <c r="J536" s="430"/>
    </row>
    <row r="537" spans="1:10" s="58" customFormat="1" hidden="1" x14ac:dyDescent="0.25">
      <c r="A537" s="109" t="s">
        <v>248</v>
      </c>
      <c r="B537" s="109" t="s">
        <v>248</v>
      </c>
      <c r="C537" s="53">
        <v>1</v>
      </c>
      <c r="D537" s="14" t="s">
        <v>296</v>
      </c>
      <c r="E537" s="13"/>
      <c r="F537" s="398">
        <f>F538+F539+F543+F544+F545+F546</f>
        <v>7241</v>
      </c>
      <c r="G537" s="65"/>
      <c r="H537" s="65"/>
      <c r="I537" s="43"/>
      <c r="J537" s="52"/>
    </row>
    <row r="538" spans="1:10" s="58" customFormat="1" hidden="1" x14ac:dyDescent="0.25">
      <c r="A538" s="109" t="s">
        <v>248</v>
      </c>
      <c r="B538" s="109" t="s">
        <v>248</v>
      </c>
      <c r="C538" s="53">
        <v>1</v>
      </c>
      <c r="D538" s="15" t="s">
        <v>297</v>
      </c>
      <c r="E538" s="13"/>
      <c r="F538" s="55">
        <v>600</v>
      </c>
      <c r="G538" s="65"/>
      <c r="H538" s="65"/>
      <c r="I538" s="43"/>
      <c r="J538" s="52"/>
    </row>
    <row r="539" spans="1:10" s="58" customFormat="1" ht="30" hidden="1" x14ac:dyDescent="0.25">
      <c r="A539" s="109" t="s">
        <v>248</v>
      </c>
      <c r="B539" s="109" t="s">
        <v>248</v>
      </c>
      <c r="C539" s="53">
        <v>1</v>
      </c>
      <c r="D539" s="16" t="s">
        <v>298</v>
      </c>
      <c r="E539" s="13"/>
      <c r="F539" s="55">
        <f>SUM(F540,F542)</f>
        <v>0</v>
      </c>
      <c r="G539" s="65"/>
      <c r="H539" s="65"/>
      <c r="I539" s="43"/>
      <c r="J539" s="52"/>
    </row>
    <row r="540" spans="1:10" s="124" customFormat="1" hidden="1" x14ac:dyDescent="0.25">
      <c r="A540" s="109" t="s">
        <v>248</v>
      </c>
      <c r="B540" s="109" t="s">
        <v>248</v>
      </c>
      <c r="C540" s="53">
        <v>1</v>
      </c>
      <c r="D540" s="15" t="s">
        <v>299</v>
      </c>
      <c r="E540" s="13"/>
      <c r="F540" s="17"/>
      <c r="G540" s="10"/>
      <c r="H540" s="10"/>
      <c r="I540" s="10"/>
      <c r="J540" s="52"/>
    </row>
    <row r="541" spans="1:10" s="58" customFormat="1" ht="30" hidden="1" x14ac:dyDescent="0.25">
      <c r="A541" s="109" t="s">
        <v>248</v>
      </c>
      <c r="B541" s="109" t="s">
        <v>248</v>
      </c>
      <c r="C541" s="53">
        <v>1</v>
      </c>
      <c r="D541" s="15" t="s">
        <v>300</v>
      </c>
      <c r="E541" s="13"/>
      <c r="F541" s="55"/>
      <c r="G541" s="65"/>
      <c r="H541" s="65"/>
      <c r="I541" s="43"/>
      <c r="J541" s="52"/>
    </row>
    <row r="542" spans="1:10" s="58" customFormat="1" ht="45" hidden="1" x14ac:dyDescent="0.25">
      <c r="A542" s="109" t="s">
        <v>248</v>
      </c>
      <c r="B542" s="109" t="s">
        <v>248</v>
      </c>
      <c r="C542" s="53">
        <v>1</v>
      </c>
      <c r="D542" s="15" t="s">
        <v>301</v>
      </c>
      <c r="E542" s="13"/>
      <c r="F542" s="63"/>
      <c r="G542" s="65"/>
      <c r="H542" s="65"/>
      <c r="I542" s="43"/>
      <c r="J542" s="52"/>
    </row>
    <row r="543" spans="1:10" s="58" customFormat="1" ht="45" hidden="1" x14ac:dyDescent="0.25">
      <c r="A543" s="109" t="s">
        <v>248</v>
      </c>
      <c r="B543" s="109" t="s">
        <v>248</v>
      </c>
      <c r="C543" s="53">
        <v>1</v>
      </c>
      <c r="D543" s="15" t="s">
        <v>309</v>
      </c>
      <c r="E543" s="13"/>
      <c r="F543" s="63"/>
      <c r="G543" s="65"/>
      <c r="H543" s="65"/>
      <c r="I543" s="43"/>
      <c r="J543" s="52"/>
    </row>
    <row r="544" spans="1:10" s="58" customFormat="1" ht="45" hidden="1" x14ac:dyDescent="0.25">
      <c r="A544" s="109" t="s">
        <v>248</v>
      </c>
      <c r="B544" s="109" t="s">
        <v>248</v>
      </c>
      <c r="C544" s="53">
        <v>1</v>
      </c>
      <c r="D544" s="18" t="s">
        <v>310</v>
      </c>
      <c r="E544" s="13"/>
      <c r="F544" s="63">
        <v>500</v>
      </c>
      <c r="G544" s="65"/>
      <c r="H544" s="65"/>
      <c r="I544" s="43"/>
      <c r="J544" s="52"/>
    </row>
    <row r="545" spans="1:10" s="58" customFormat="1" ht="75" hidden="1" x14ac:dyDescent="0.25">
      <c r="A545" s="53"/>
      <c r="B545" s="109"/>
      <c r="C545" s="53">
        <v>1</v>
      </c>
      <c r="D545" s="18" t="s">
        <v>354</v>
      </c>
      <c r="E545" s="13"/>
      <c r="F545" s="55">
        <v>2000</v>
      </c>
      <c r="G545" s="65"/>
      <c r="H545" s="65"/>
      <c r="I545" s="43"/>
      <c r="J545" s="52"/>
    </row>
    <row r="546" spans="1:10" s="58" customFormat="1" ht="28.5" hidden="1" x14ac:dyDescent="0.25">
      <c r="A546" s="53"/>
      <c r="B546" s="109"/>
      <c r="C546" s="53">
        <v>1</v>
      </c>
      <c r="D546" s="66" t="s">
        <v>344</v>
      </c>
      <c r="E546" s="13"/>
      <c r="F546" s="55">
        <f>F547</f>
        <v>4141</v>
      </c>
      <c r="G546" s="59"/>
      <c r="H546" s="59"/>
      <c r="I546" s="81"/>
      <c r="J546" s="52"/>
    </row>
    <row r="547" spans="1:10" s="58" customFormat="1" hidden="1" x14ac:dyDescent="0.25">
      <c r="A547" s="53"/>
      <c r="B547" s="109"/>
      <c r="C547" s="53">
        <v>1</v>
      </c>
      <c r="D547" s="18" t="s">
        <v>345</v>
      </c>
      <c r="E547" s="13"/>
      <c r="F547" s="55">
        <v>4141</v>
      </c>
      <c r="G547" s="59"/>
      <c r="H547" s="59"/>
      <c r="I547" s="81"/>
      <c r="J547" s="52"/>
    </row>
    <row r="548" spans="1:10" s="58" customFormat="1" ht="28.5" hidden="1" x14ac:dyDescent="0.25">
      <c r="A548" s="53"/>
      <c r="B548" s="109"/>
      <c r="C548" s="53">
        <v>1</v>
      </c>
      <c r="D548" s="66" t="s">
        <v>346</v>
      </c>
      <c r="E548" s="13"/>
      <c r="F548" s="55"/>
      <c r="G548" s="59"/>
      <c r="H548" s="59"/>
      <c r="I548" s="81"/>
      <c r="J548" s="52"/>
    </row>
    <row r="549" spans="1:10" s="58" customFormat="1" hidden="1" x14ac:dyDescent="0.25">
      <c r="A549" s="109" t="s">
        <v>248</v>
      </c>
      <c r="B549" s="109" t="s">
        <v>248</v>
      </c>
      <c r="C549" s="53">
        <v>1</v>
      </c>
      <c r="D549" s="14" t="s">
        <v>303</v>
      </c>
      <c r="E549" s="13"/>
      <c r="F549" s="75"/>
      <c r="G549" s="65"/>
      <c r="H549" s="65"/>
      <c r="I549" s="43"/>
      <c r="J549" s="52"/>
    </row>
    <row r="550" spans="1:10" s="58" customFormat="1" hidden="1" x14ac:dyDescent="0.25">
      <c r="A550" s="109" t="s">
        <v>248</v>
      </c>
      <c r="B550" s="109" t="s">
        <v>248</v>
      </c>
      <c r="C550" s="53">
        <v>1</v>
      </c>
      <c r="D550" s="14" t="s">
        <v>304</v>
      </c>
      <c r="E550" s="13"/>
      <c r="F550" s="55"/>
      <c r="G550" s="65"/>
      <c r="H550" s="65"/>
      <c r="I550" s="43"/>
      <c r="J550" s="52"/>
    </row>
    <row r="551" spans="1:10" s="58" customFormat="1" hidden="1" x14ac:dyDescent="0.25">
      <c r="A551" s="109" t="s">
        <v>248</v>
      </c>
      <c r="B551" s="109" t="s">
        <v>248</v>
      </c>
      <c r="C551" s="53">
        <v>1</v>
      </c>
      <c r="D551" s="15" t="s">
        <v>305</v>
      </c>
      <c r="E551" s="13"/>
      <c r="F551" s="55"/>
      <c r="G551" s="65"/>
      <c r="H551" s="65"/>
      <c r="I551" s="43"/>
      <c r="J551" s="52"/>
    </row>
    <row r="552" spans="1:10" s="58" customFormat="1" hidden="1" x14ac:dyDescent="0.25">
      <c r="A552" s="109" t="s">
        <v>248</v>
      </c>
      <c r="B552" s="109" t="s">
        <v>248</v>
      </c>
      <c r="C552" s="53">
        <v>1</v>
      </c>
      <c r="D552" s="42" t="s">
        <v>314</v>
      </c>
      <c r="E552" s="13"/>
      <c r="F552" s="501"/>
      <c r="G552" s="65"/>
      <c r="H552" s="65"/>
      <c r="I552" s="43"/>
      <c r="J552" s="52"/>
    </row>
    <row r="553" spans="1:10" s="58" customFormat="1" ht="29.25" hidden="1" x14ac:dyDescent="0.25">
      <c r="A553" s="109" t="s">
        <v>248</v>
      </c>
      <c r="B553" s="109" t="s">
        <v>248</v>
      </c>
      <c r="C553" s="53">
        <v>1</v>
      </c>
      <c r="D553" s="14" t="s">
        <v>306</v>
      </c>
      <c r="E553" s="13"/>
      <c r="F553" s="501">
        <v>23646</v>
      </c>
      <c r="G553" s="65"/>
      <c r="H553" s="65"/>
      <c r="I553" s="43"/>
      <c r="J553" s="52"/>
    </row>
    <row r="554" spans="1:10" s="58" customFormat="1" hidden="1" x14ac:dyDescent="0.25">
      <c r="A554" s="109" t="s">
        <v>248</v>
      </c>
      <c r="B554" s="109" t="s">
        <v>248</v>
      </c>
      <c r="C554" s="53">
        <v>1</v>
      </c>
      <c r="D554" s="19" t="s">
        <v>115</v>
      </c>
      <c r="E554" s="13"/>
      <c r="F554" s="501"/>
      <c r="G554" s="65"/>
      <c r="H554" s="65"/>
      <c r="I554" s="43"/>
      <c r="J554" s="52"/>
    </row>
    <row r="555" spans="1:10" s="58" customFormat="1" ht="45.75" hidden="1" customHeight="1" x14ac:dyDescent="0.25">
      <c r="A555" s="109" t="s">
        <v>248</v>
      </c>
      <c r="B555" s="109" t="s">
        <v>248</v>
      </c>
      <c r="C555" s="53">
        <v>1</v>
      </c>
      <c r="D555" s="21" t="s">
        <v>312</v>
      </c>
      <c r="E555" s="13"/>
      <c r="F555" s="501"/>
      <c r="G555" s="65"/>
      <c r="H555" s="65"/>
      <c r="I555" s="43"/>
      <c r="J555" s="52"/>
    </row>
    <row r="556" spans="1:10" s="58" customFormat="1" hidden="1" x14ac:dyDescent="0.25">
      <c r="A556" s="109" t="s">
        <v>248</v>
      </c>
      <c r="B556" s="109" t="s">
        <v>248</v>
      </c>
      <c r="C556" s="53">
        <v>1</v>
      </c>
      <c r="D556" s="20" t="s">
        <v>158</v>
      </c>
      <c r="E556" s="13"/>
      <c r="F556" s="55">
        <f>SUM(F557:F577)</f>
        <v>145832</v>
      </c>
      <c r="G556" s="65"/>
      <c r="H556" s="65"/>
      <c r="I556" s="43"/>
      <c r="J556" s="52"/>
    </row>
    <row r="557" spans="1:10" s="58" customFormat="1" ht="30" hidden="1" x14ac:dyDescent="0.25">
      <c r="A557" s="109" t="s">
        <v>248</v>
      </c>
      <c r="B557" s="109" t="s">
        <v>248</v>
      </c>
      <c r="C557" s="53">
        <v>1</v>
      </c>
      <c r="D557" s="126" t="s">
        <v>123</v>
      </c>
      <c r="E557" s="13"/>
      <c r="F557" s="55">
        <v>25000</v>
      </c>
      <c r="G557" s="465"/>
      <c r="H557" s="465"/>
      <c r="I557" s="29"/>
      <c r="J557" s="52"/>
    </row>
    <row r="558" spans="1:10" s="58" customFormat="1" ht="30" hidden="1" x14ac:dyDescent="0.25">
      <c r="A558" s="109" t="s">
        <v>248</v>
      </c>
      <c r="B558" s="109" t="s">
        <v>248</v>
      </c>
      <c r="C558" s="53">
        <v>1</v>
      </c>
      <c r="D558" s="126" t="s">
        <v>124</v>
      </c>
      <c r="E558" s="13"/>
      <c r="F558" s="55">
        <v>2000</v>
      </c>
      <c r="G558" s="465"/>
      <c r="H558" s="465"/>
      <c r="I558" s="29"/>
      <c r="J558" s="52"/>
    </row>
    <row r="559" spans="1:10" s="58" customFormat="1" hidden="1" x14ac:dyDescent="0.25">
      <c r="A559" s="109"/>
      <c r="B559" s="109"/>
      <c r="C559" s="53">
        <v>1</v>
      </c>
      <c r="D559" s="126" t="s">
        <v>166</v>
      </c>
      <c r="E559" s="13"/>
      <c r="F559" s="55">
        <v>417</v>
      </c>
      <c r="G559" s="465"/>
      <c r="H559" s="465"/>
      <c r="I559" s="29"/>
      <c r="J559" s="52"/>
    </row>
    <row r="560" spans="1:10" s="58" customFormat="1" ht="30" hidden="1" x14ac:dyDescent="0.25">
      <c r="A560" s="109" t="s">
        <v>248</v>
      </c>
      <c r="B560" s="109" t="s">
        <v>248</v>
      </c>
      <c r="C560" s="53">
        <v>1</v>
      </c>
      <c r="D560" s="126" t="s">
        <v>348</v>
      </c>
      <c r="E560" s="13"/>
      <c r="F560" s="55">
        <v>50</v>
      </c>
      <c r="G560" s="465"/>
      <c r="H560" s="465"/>
      <c r="I560" s="29"/>
      <c r="J560" s="52"/>
    </row>
    <row r="561" spans="1:10" s="58" customFormat="1" ht="34.5" hidden="1" customHeight="1" x14ac:dyDescent="0.25">
      <c r="A561" s="109" t="s">
        <v>248</v>
      </c>
      <c r="B561" s="109" t="s">
        <v>248</v>
      </c>
      <c r="C561" s="53">
        <v>1</v>
      </c>
      <c r="D561" s="126" t="s">
        <v>140</v>
      </c>
      <c r="E561" s="13"/>
      <c r="F561" s="55">
        <v>20</v>
      </c>
      <c r="G561" s="465"/>
      <c r="H561" s="465"/>
      <c r="I561" s="29"/>
      <c r="J561" s="52"/>
    </row>
    <row r="562" spans="1:10" s="58" customFormat="1" ht="21.75" hidden="1" customHeight="1" x14ac:dyDescent="0.25">
      <c r="A562" s="109"/>
      <c r="B562" s="109"/>
      <c r="C562" s="53">
        <v>1</v>
      </c>
      <c r="D562" s="126" t="s">
        <v>16</v>
      </c>
      <c r="E562" s="13"/>
      <c r="F562" s="55">
        <v>2500</v>
      </c>
      <c r="G562" s="465"/>
      <c r="H562" s="465"/>
      <c r="I562" s="29"/>
      <c r="J562" s="52"/>
    </row>
    <row r="563" spans="1:10" s="58" customFormat="1" ht="21" hidden="1" customHeight="1" x14ac:dyDescent="0.25">
      <c r="A563" s="109"/>
      <c r="B563" s="109"/>
      <c r="C563" s="53">
        <v>1</v>
      </c>
      <c r="D563" s="126" t="s">
        <v>53</v>
      </c>
      <c r="E563" s="13"/>
      <c r="F563" s="55">
        <v>1000</v>
      </c>
      <c r="G563" s="465"/>
      <c r="H563" s="465"/>
      <c r="I563" s="29"/>
      <c r="J563" s="52"/>
    </row>
    <row r="564" spans="1:10" s="58" customFormat="1" hidden="1" x14ac:dyDescent="0.25">
      <c r="A564" s="109" t="s">
        <v>248</v>
      </c>
      <c r="B564" s="109" t="s">
        <v>248</v>
      </c>
      <c r="C564" s="53">
        <v>1</v>
      </c>
      <c r="D564" s="126" t="s">
        <v>17</v>
      </c>
      <c r="E564" s="13"/>
      <c r="F564" s="55">
        <v>1708</v>
      </c>
      <c r="G564" s="465"/>
      <c r="H564" s="465"/>
      <c r="I564" s="29"/>
      <c r="J564" s="52"/>
    </row>
    <row r="565" spans="1:10" s="58" customFormat="1" ht="31.5" hidden="1" customHeight="1" x14ac:dyDescent="0.25">
      <c r="A565" s="109" t="s">
        <v>248</v>
      </c>
      <c r="B565" s="109" t="s">
        <v>248</v>
      </c>
      <c r="C565" s="53">
        <v>1</v>
      </c>
      <c r="D565" s="126" t="s">
        <v>139</v>
      </c>
      <c r="E565" s="13"/>
      <c r="F565" s="55">
        <v>1237</v>
      </c>
      <c r="G565" s="465"/>
      <c r="H565" s="465"/>
      <c r="I565" s="29"/>
      <c r="J565" s="52"/>
    </row>
    <row r="566" spans="1:10" s="58" customFormat="1" hidden="1" x14ac:dyDescent="0.25">
      <c r="A566" s="109" t="s">
        <v>248</v>
      </c>
      <c r="B566" s="109" t="s">
        <v>248</v>
      </c>
      <c r="C566" s="53">
        <v>1</v>
      </c>
      <c r="D566" s="126" t="s">
        <v>147</v>
      </c>
      <c r="E566" s="13"/>
      <c r="F566" s="55">
        <v>5000</v>
      </c>
      <c r="G566" s="465"/>
      <c r="H566" s="465"/>
      <c r="I566" s="29"/>
      <c r="J566" s="52"/>
    </row>
    <row r="567" spans="1:10" s="58" customFormat="1" ht="33.75" hidden="1" customHeight="1" x14ac:dyDescent="0.25">
      <c r="A567" s="109" t="s">
        <v>248</v>
      </c>
      <c r="B567" s="109" t="s">
        <v>248</v>
      </c>
      <c r="C567" s="53">
        <v>1</v>
      </c>
      <c r="D567" s="126" t="s">
        <v>150</v>
      </c>
      <c r="E567" s="13"/>
      <c r="F567" s="55">
        <v>2500</v>
      </c>
      <c r="G567" s="465"/>
      <c r="H567" s="465"/>
      <c r="I567" s="29"/>
      <c r="J567" s="52"/>
    </row>
    <row r="568" spans="1:10" s="58" customFormat="1" ht="46.5" hidden="1" customHeight="1" x14ac:dyDescent="0.25">
      <c r="A568" s="109" t="s">
        <v>248</v>
      </c>
      <c r="B568" s="109" t="s">
        <v>248</v>
      </c>
      <c r="C568" s="53">
        <v>1</v>
      </c>
      <c r="D568" s="126" t="s">
        <v>321</v>
      </c>
      <c r="E568" s="13"/>
      <c r="F568" s="55">
        <v>150</v>
      </c>
      <c r="G568" s="465"/>
      <c r="H568" s="465"/>
      <c r="I568" s="29"/>
      <c r="J568" s="52"/>
    </row>
    <row r="569" spans="1:10" s="58" customFormat="1" hidden="1" x14ac:dyDescent="0.25">
      <c r="A569" s="109" t="s">
        <v>248</v>
      </c>
      <c r="B569" s="109" t="s">
        <v>248</v>
      </c>
      <c r="C569" s="53">
        <v>1</v>
      </c>
      <c r="D569" s="126" t="s">
        <v>142</v>
      </c>
      <c r="E569" s="13"/>
      <c r="F569" s="55">
        <v>25</v>
      </c>
      <c r="G569" s="465"/>
      <c r="H569" s="465"/>
      <c r="I569" s="29"/>
      <c r="J569" s="52"/>
    </row>
    <row r="570" spans="1:10" s="58" customFormat="1" ht="45" hidden="1" x14ac:dyDescent="0.25">
      <c r="A570" s="109" t="s">
        <v>248</v>
      </c>
      <c r="B570" s="109" t="s">
        <v>248</v>
      </c>
      <c r="C570" s="53">
        <v>1</v>
      </c>
      <c r="D570" s="126" t="s">
        <v>355</v>
      </c>
      <c r="E570" s="13"/>
      <c r="F570" s="55">
        <v>300</v>
      </c>
      <c r="G570" s="465"/>
      <c r="H570" s="465"/>
      <c r="I570" s="29"/>
      <c r="J570" s="52"/>
    </row>
    <row r="571" spans="1:10" s="58" customFormat="1" ht="45" hidden="1" x14ac:dyDescent="0.25">
      <c r="A571" s="109" t="s">
        <v>248</v>
      </c>
      <c r="B571" s="109" t="s">
        <v>248</v>
      </c>
      <c r="C571" s="53">
        <v>1</v>
      </c>
      <c r="D571" s="126" t="s">
        <v>339</v>
      </c>
      <c r="E571" s="13"/>
      <c r="F571" s="55">
        <v>1400</v>
      </c>
      <c r="G571" s="465"/>
      <c r="H571" s="465"/>
      <c r="I571" s="29"/>
      <c r="J571" s="52"/>
    </row>
    <row r="572" spans="1:10" s="58" customFormat="1" ht="30" hidden="1" x14ac:dyDescent="0.25">
      <c r="A572" s="109" t="s">
        <v>248</v>
      </c>
      <c r="B572" s="109" t="s">
        <v>248</v>
      </c>
      <c r="C572" s="53">
        <v>1</v>
      </c>
      <c r="D572" s="126" t="s">
        <v>203</v>
      </c>
      <c r="E572" s="13"/>
      <c r="F572" s="55">
        <v>2500</v>
      </c>
      <c r="G572" s="465"/>
      <c r="H572" s="465"/>
      <c r="I572" s="29"/>
      <c r="J572" s="52"/>
    </row>
    <row r="573" spans="1:10" s="58" customFormat="1" ht="15" hidden="1" customHeight="1" x14ac:dyDescent="0.25">
      <c r="A573" s="109" t="s">
        <v>248</v>
      </c>
      <c r="B573" s="109" t="s">
        <v>248</v>
      </c>
      <c r="C573" s="53">
        <v>1</v>
      </c>
      <c r="D573" s="126" t="s">
        <v>202</v>
      </c>
      <c r="E573" s="13"/>
      <c r="F573" s="55">
        <v>1560</v>
      </c>
      <c r="G573" s="465"/>
      <c r="H573" s="465"/>
      <c r="I573" s="29"/>
      <c r="J573" s="52"/>
    </row>
    <row r="574" spans="1:10" s="58" customFormat="1" hidden="1" x14ac:dyDescent="0.25">
      <c r="A574" s="109" t="s">
        <v>248</v>
      </c>
      <c r="B574" s="109" t="s">
        <v>248</v>
      </c>
      <c r="C574" s="53">
        <v>1</v>
      </c>
      <c r="D574" s="126" t="s">
        <v>31</v>
      </c>
      <c r="E574" s="13"/>
      <c r="F574" s="55">
        <v>800</v>
      </c>
      <c r="G574" s="465"/>
      <c r="H574" s="465"/>
      <c r="I574" s="29"/>
      <c r="J574" s="52"/>
    </row>
    <row r="575" spans="1:10" s="58" customFormat="1" hidden="1" x14ac:dyDescent="0.25">
      <c r="A575" s="109" t="s">
        <v>248</v>
      </c>
      <c r="B575" s="109" t="s">
        <v>248</v>
      </c>
      <c r="C575" s="53">
        <v>1</v>
      </c>
      <c r="D575" s="126" t="s">
        <v>15</v>
      </c>
      <c r="E575" s="13"/>
      <c r="F575" s="55">
        <v>165</v>
      </c>
      <c r="G575" s="465"/>
      <c r="H575" s="465"/>
      <c r="I575" s="29"/>
      <c r="J575" s="52"/>
    </row>
    <row r="576" spans="1:10" s="58" customFormat="1" hidden="1" x14ac:dyDescent="0.25">
      <c r="A576" s="109" t="s">
        <v>248</v>
      </c>
      <c r="B576" s="109" t="s">
        <v>248</v>
      </c>
      <c r="C576" s="53">
        <v>1</v>
      </c>
      <c r="D576" s="126" t="s">
        <v>27</v>
      </c>
      <c r="E576" s="13"/>
      <c r="F576" s="55">
        <v>95000</v>
      </c>
      <c r="G576" s="465"/>
      <c r="H576" s="465"/>
      <c r="I576" s="29"/>
      <c r="J576" s="52"/>
    </row>
    <row r="577" spans="1:10" s="58" customFormat="1" hidden="1" x14ac:dyDescent="0.25">
      <c r="A577" s="109" t="s">
        <v>248</v>
      </c>
      <c r="B577" s="109" t="s">
        <v>248</v>
      </c>
      <c r="C577" s="53">
        <v>1</v>
      </c>
      <c r="D577" s="126" t="s">
        <v>118</v>
      </c>
      <c r="E577" s="13"/>
      <c r="F577" s="55">
        <v>2500</v>
      </c>
      <c r="G577" s="465"/>
      <c r="H577" s="465"/>
      <c r="I577" s="29"/>
      <c r="J577" s="52"/>
    </row>
    <row r="578" spans="1:10" s="58" customFormat="1" hidden="1" x14ac:dyDescent="0.25">
      <c r="A578" s="109" t="s">
        <v>248</v>
      </c>
      <c r="B578" s="109" t="s">
        <v>248</v>
      </c>
      <c r="C578" s="53">
        <v>1</v>
      </c>
      <c r="D578" s="21" t="s">
        <v>198</v>
      </c>
      <c r="E578" s="13"/>
      <c r="F578" s="398">
        <f>F537+F516</f>
        <v>54787</v>
      </c>
      <c r="G578" s="465"/>
      <c r="H578" s="465"/>
      <c r="I578" s="29"/>
      <c r="J578" s="430"/>
    </row>
    <row r="579" spans="1:10" s="58" customFormat="1" ht="29.25" hidden="1" x14ac:dyDescent="0.25">
      <c r="A579" s="109" t="s">
        <v>248</v>
      </c>
      <c r="B579" s="109" t="s">
        <v>248</v>
      </c>
      <c r="C579" s="53">
        <v>1</v>
      </c>
      <c r="D579" s="21" t="s">
        <v>199</v>
      </c>
      <c r="E579" s="13"/>
      <c r="F579" s="398">
        <f>F526</f>
        <v>18847</v>
      </c>
      <c r="G579" s="465"/>
      <c r="H579" s="465"/>
      <c r="I579" s="29"/>
      <c r="J579" s="430"/>
    </row>
    <row r="580" spans="1:10" s="58" customFormat="1" hidden="1" x14ac:dyDescent="0.25">
      <c r="A580" s="109" t="s">
        <v>248</v>
      </c>
      <c r="B580" s="109" t="s">
        <v>248</v>
      </c>
      <c r="C580" s="53">
        <v>1</v>
      </c>
      <c r="D580" s="21" t="s">
        <v>200</v>
      </c>
      <c r="E580" s="13"/>
      <c r="F580" s="398">
        <f>F549+F524</f>
        <v>68960</v>
      </c>
      <c r="G580" s="465"/>
      <c r="H580" s="465"/>
      <c r="I580" s="29"/>
      <c r="J580" s="430"/>
    </row>
    <row r="581" spans="1:10" s="58" customFormat="1" ht="29.25" hidden="1" x14ac:dyDescent="0.25">
      <c r="A581" s="109" t="s">
        <v>248</v>
      </c>
      <c r="B581" s="109" t="s">
        <v>248</v>
      </c>
      <c r="C581" s="53">
        <v>1</v>
      </c>
      <c r="D581" s="21" t="s">
        <v>201</v>
      </c>
      <c r="E581" s="13"/>
      <c r="F581" s="398">
        <f>F553+F555</f>
        <v>23646</v>
      </c>
      <c r="G581" s="465"/>
      <c r="H581" s="465"/>
      <c r="I581" s="29"/>
      <c r="J581" s="430"/>
    </row>
    <row r="582" spans="1:10" s="58" customFormat="1" hidden="1" x14ac:dyDescent="0.25">
      <c r="A582" s="109" t="s">
        <v>248</v>
      </c>
      <c r="B582" s="109" t="s">
        <v>248</v>
      </c>
      <c r="C582" s="53">
        <v>1</v>
      </c>
      <c r="D582" s="22" t="s">
        <v>109</v>
      </c>
      <c r="E582" s="13"/>
      <c r="F582" s="398">
        <f>F578+F579+F581+F580*2.9</f>
        <v>297264</v>
      </c>
      <c r="G582" s="465"/>
      <c r="H582" s="465"/>
      <c r="I582" s="29"/>
      <c r="J582" s="430"/>
    </row>
    <row r="583" spans="1:10" hidden="1" x14ac:dyDescent="0.25">
      <c r="A583" s="109" t="s">
        <v>248</v>
      </c>
      <c r="B583" s="109" t="s">
        <v>248</v>
      </c>
      <c r="C583" s="53">
        <v>1</v>
      </c>
      <c r="D583" s="44" t="s">
        <v>7</v>
      </c>
      <c r="E583" s="13"/>
      <c r="F583" s="55"/>
      <c r="G583" s="2"/>
      <c r="H583" s="2"/>
      <c r="I583" s="2"/>
    </row>
    <row r="584" spans="1:10" hidden="1" x14ac:dyDescent="0.25">
      <c r="A584" s="109" t="s">
        <v>248</v>
      </c>
      <c r="B584" s="109" t="s">
        <v>248</v>
      </c>
      <c r="C584" s="53">
        <v>1</v>
      </c>
      <c r="D584" s="306" t="s">
        <v>71</v>
      </c>
      <c r="E584" s="13"/>
      <c r="F584" s="55"/>
      <c r="G584" s="2"/>
      <c r="H584" s="2"/>
      <c r="I584" s="2"/>
    </row>
    <row r="585" spans="1:10" hidden="1" x14ac:dyDescent="0.25">
      <c r="A585" s="109" t="s">
        <v>248</v>
      </c>
      <c r="B585" s="109" t="s">
        <v>248</v>
      </c>
      <c r="C585" s="53">
        <v>1</v>
      </c>
      <c r="D585" s="439" t="s">
        <v>21</v>
      </c>
      <c r="E585" s="54">
        <v>240</v>
      </c>
      <c r="F585" s="55">
        <v>200</v>
      </c>
      <c r="G585" s="56">
        <v>4</v>
      </c>
      <c r="H585" s="2">
        <f t="shared" ref="H585:H596" si="8">ROUND(I585/E585,0)</f>
        <v>3</v>
      </c>
      <c r="I585" s="2">
        <f t="shared" ref="I585:I596" si="9">ROUND(F585*G585,0)</f>
        <v>800</v>
      </c>
    </row>
    <row r="586" spans="1:10" hidden="1" x14ac:dyDescent="0.25">
      <c r="A586" s="109"/>
      <c r="B586" s="109"/>
      <c r="C586" s="53">
        <v>1</v>
      </c>
      <c r="D586" s="439" t="s">
        <v>20</v>
      </c>
      <c r="E586" s="54">
        <v>240</v>
      </c>
      <c r="F586" s="55">
        <v>520</v>
      </c>
      <c r="G586" s="56">
        <v>8</v>
      </c>
      <c r="H586" s="2">
        <v>8</v>
      </c>
      <c r="I586" s="2">
        <f t="shared" si="9"/>
        <v>4160</v>
      </c>
    </row>
    <row r="587" spans="1:10" hidden="1" x14ac:dyDescent="0.25">
      <c r="A587" s="109"/>
      <c r="B587" s="109"/>
      <c r="C587" s="53">
        <v>1</v>
      </c>
      <c r="D587" s="439" t="s">
        <v>55</v>
      </c>
      <c r="E587" s="54">
        <v>240</v>
      </c>
      <c r="F587" s="55">
        <v>135</v>
      </c>
      <c r="G587" s="56">
        <v>7</v>
      </c>
      <c r="H587" s="2">
        <f t="shared" si="8"/>
        <v>4</v>
      </c>
      <c r="I587" s="2">
        <f t="shared" si="9"/>
        <v>945</v>
      </c>
    </row>
    <row r="588" spans="1:10" hidden="1" x14ac:dyDescent="0.25">
      <c r="A588" s="109"/>
      <c r="B588" s="109"/>
      <c r="C588" s="53">
        <v>1</v>
      </c>
      <c r="D588" s="439" t="s">
        <v>63</v>
      </c>
      <c r="E588" s="54">
        <v>240</v>
      </c>
      <c r="F588" s="55"/>
      <c r="G588" s="56">
        <v>8</v>
      </c>
      <c r="H588" s="2">
        <f t="shared" si="8"/>
        <v>0</v>
      </c>
      <c r="I588" s="2">
        <f t="shared" si="9"/>
        <v>0</v>
      </c>
    </row>
    <row r="589" spans="1:10" hidden="1" x14ac:dyDescent="0.25">
      <c r="A589" s="109" t="s">
        <v>248</v>
      </c>
      <c r="B589" s="109" t="s">
        <v>248</v>
      </c>
      <c r="C589" s="53">
        <v>1</v>
      </c>
      <c r="D589" s="439" t="s">
        <v>84</v>
      </c>
      <c r="E589" s="54">
        <v>240</v>
      </c>
      <c r="F589" s="55">
        <v>481</v>
      </c>
      <c r="G589" s="56">
        <v>2</v>
      </c>
      <c r="H589" s="2">
        <f t="shared" si="8"/>
        <v>4</v>
      </c>
      <c r="I589" s="2">
        <f t="shared" si="9"/>
        <v>962</v>
      </c>
    </row>
    <row r="590" spans="1:10" hidden="1" x14ac:dyDescent="0.25">
      <c r="A590" s="109"/>
      <c r="B590" s="109"/>
      <c r="C590" s="53">
        <v>1</v>
      </c>
      <c r="D590" s="439" t="s">
        <v>77</v>
      </c>
      <c r="E590" s="54">
        <v>240</v>
      </c>
      <c r="F590" s="55">
        <v>20</v>
      </c>
      <c r="G590" s="56">
        <v>4</v>
      </c>
      <c r="H590" s="2">
        <f t="shared" si="8"/>
        <v>0</v>
      </c>
      <c r="I590" s="2">
        <f t="shared" si="9"/>
        <v>80</v>
      </c>
    </row>
    <row r="591" spans="1:10" hidden="1" x14ac:dyDescent="0.25">
      <c r="A591" s="109"/>
      <c r="B591" s="109"/>
      <c r="C591" s="53">
        <v>1</v>
      </c>
      <c r="D591" s="439" t="s">
        <v>152</v>
      </c>
      <c r="E591" s="54">
        <v>240</v>
      </c>
      <c r="F591" s="55">
        <v>55</v>
      </c>
      <c r="G591" s="56">
        <v>6.2</v>
      </c>
      <c r="H591" s="2">
        <f t="shared" si="8"/>
        <v>1</v>
      </c>
      <c r="I591" s="2">
        <f t="shared" si="9"/>
        <v>341</v>
      </c>
    </row>
    <row r="592" spans="1:10" hidden="1" x14ac:dyDescent="0.25">
      <c r="A592" s="109"/>
      <c r="B592" s="109"/>
      <c r="C592" s="53">
        <v>1</v>
      </c>
      <c r="D592" s="439" t="s">
        <v>29</v>
      </c>
      <c r="E592" s="54">
        <v>240</v>
      </c>
      <c r="F592" s="55">
        <v>60</v>
      </c>
      <c r="G592" s="56">
        <v>4</v>
      </c>
      <c r="H592" s="2">
        <f t="shared" si="8"/>
        <v>1</v>
      </c>
      <c r="I592" s="2">
        <f t="shared" si="9"/>
        <v>240</v>
      </c>
    </row>
    <row r="593" spans="1:10" hidden="1" x14ac:dyDescent="0.25">
      <c r="A593" s="109" t="s">
        <v>248</v>
      </c>
      <c r="B593" s="109" t="s">
        <v>248</v>
      </c>
      <c r="C593" s="53">
        <v>1</v>
      </c>
      <c r="D593" s="439" t="s">
        <v>19</v>
      </c>
      <c r="E593" s="54">
        <v>240</v>
      </c>
      <c r="F593" s="55">
        <v>194</v>
      </c>
      <c r="G593" s="56">
        <v>6</v>
      </c>
      <c r="H593" s="2">
        <f t="shared" si="8"/>
        <v>5</v>
      </c>
      <c r="I593" s="2">
        <f t="shared" si="9"/>
        <v>1164</v>
      </c>
    </row>
    <row r="594" spans="1:10" hidden="1" x14ac:dyDescent="0.25">
      <c r="A594" s="109"/>
      <c r="B594" s="109"/>
      <c r="C594" s="53">
        <v>1</v>
      </c>
      <c r="D594" s="439" t="s">
        <v>11</v>
      </c>
      <c r="E594" s="54">
        <v>240</v>
      </c>
      <c r="F594" s="55">
        <v>65</v>
      </c>
      <c r="G594" s="56">
        <v>4</v>
      </c>
      <c r="H594" s="2">
        <f t="shared" si="8"/>
        <v>1</v>
      </c>
      <c r="I594" s="2">
        <f t="shared" si="9"/>
        <v>260</v>
      </c>
    </row>
    <row r="595" spans="1:10" hidden="1" x14ac:dyDescent="0.25">
      <c r="A595" s="109"/>
      <c r="B595" s="109"/>
      <c r="C595" s="53">
        <v>1</v>
      </c>
      <c r="D595" s="439" t="s">
        <v>153</v>
      </c>
      <c r="E595" s="54">
        <v>240</v>
      </c>
      <c r="F595" s="55">
        <v>1601</v>
      </c>
      <c r="G595" s="56">
        <v>4</v>
      </c>
      <c r="H595" s="2">
        <f t="shared" si="8"/>
        <v>27</v>
      </c>
      <c r="I595" s="2">
        <f t="shared" si="9"/>
        <v>6404</v>
      </c>
    </row>
    <row r="596" spans="1:10" hidden="1" x14ac:dyDescent="0.25">
      <c r="A596" s="109" t="s">
        <v>248</v>
      </c>
      <c r="B596" s="109" t="s">
        <v>248</v>
      </c>
      <c r="C596" s="53">
        <v>1</v>
      </c>
      <c r="D596" s="439" t="s">
        <v>33</v>
      </c>
      <c r="E596" s="54">
        <v>240</v>
      </c>
      <c r="F596" s="55">
        <v>200</v>
      </c>
      <c r="G596" s="56">
        <v>8</v>
      </c>
      <c r="H596" s="2">
        <f t="shared" si="8"/>
        <v>7</v>
      </c>
      <c r="I596" s="2">
        <f t="shared" si="9"/>
        <v>1600</v>
      </c>
    </row>
    <row r="597" spans="1:10" hidden="1" x14ac:dyDescent="0.25">
      <c r="A597" s="109" t="s">
        <v>248</v>
      </c>
      <c r="B597" s="109" t="s">
        <v>248</v>
      </c>
      <c r="C597" s="53">
        <v>1</v>
      </c>
      <c r="D597" s="497" t="s">
        <v>92</v>
      </c>
      <c r="E597" s="54"/>
      <c r="F597" s="673">
        <f>SUM(F585:F596)</f>
        <v>3531</v>
      </c>
      <c r="G597" s="143">
        <f>I597/F597</f>
        <v>4.8020390824129144</v>
      </c>
      <c r="H597" s="425">
        <f>SUM(H585:H596)</f>
        <v>61</v>
      </c>
      <c r="I597" s="425">
        <f>SUM(I585:I596)</f>
        <v>16956</v>
      </c>
    </row>
    <row r="598" spans="1:10" hidden="1" x14ac:dyDescent="0.25">
      <c r="A598" s="109" t="s">
        <v>248</v>
      </c>
      <c r="B598" s="109" t="s">
        <v>248</v>
      </c>
      <c r="C598" s="53">
        <v>1</v>
      </c>
      <c r="D598" s="500" t="s">
        <v>86</v>
      </c>
      <c r="E598" s="54"/>
      <c r="F598" s="446">
        <f>F597</f>
        <v>3531</v>
      </c>
      <c r="G598" s="143">
        <f>I598/F598</f>
        <v>4.8020390824129144</v>
      </c>
      <c r="H598" s="302">
        <f>H597</f>
        <v>61</v>
      </c>
      <c r="I598" s="302">
        <f>I597</f>
        <v>16956</v>
      </c>
    </row>
    <row r="599" spans="1:10" ht="15.75" hidden="1" thickBot="1" x14ac:dyDescent="0.3">
      <c r="A599" s="109" t="s">
        <v>248</v>
      </c>
      <c r="B599" s="109" t="s">
        <v>248</v>
      </c>
      <c r="C599" s="53">
        <v>1</v>
      </c>
      <c r="D599" s="502" t="s">
        <v>220</v>
      </c>
      <c r="E599" s="462"/>
      <c r="F599" s="463"/>
      <c r="G599" s="462"/>
      <c r="H599" s="462"/>
      <c r="I599" s="462"/>
    </row>
    <row r="600" spans="1:10" hidden="1" x14ac:dyDescent="0.25">
      <c r="A600" s="53">
        <v>1</v>
      </c>
      <c r="B600" s="53"/>
      <c r="C600" s="53">
        <v>1</v>
      </c>
      <c r="D600" s="487"/>
      <c r="E600" s="422"/>
      <c r="F600" s="423"/>
      <c r="G600" s="424"/>
      <c r="H600" s="424"/>
      <c r="I600" s="424"/>
    </row>
    <row r="601" spans="1:10" ht="29.25" hidden="1" x14ac:dyDescent="0.25">
      <c r="A601" s="53">
        <v>1</v>
      </c>
      <c r="B601" s="109" t="s">
        <v>249</v>
      </c>
      <c r="C601" s="53">
        <v>1</v>
      </c>
      <c r="D601" s="674" t="s">
        <v>391</v>
      </c>
      <c r="E601" s="68"/>
      <c r="F601" s="55"/>
      <c r="G601" s="2"/>
      <c r="H601" s="2"/>
      <c r="I601" s="2"/>
    </row>
    <row r="602" spans="1:10" s="58" customFormat="1" ht="44.25" hidden="1" customHeight="1" x14ac:dyDescent="0.25">
      <c r="A602" s="53">
        <v>1</v>
      </c>
      <c r="B602" s="109" t="s">
        <v>249</v>
      </c>
      <c r="C602" s="53">
        <v>1</v>
      </c>
      <c r="D602" s="101" t="s">
        <v>294</v>
      </c>
      <c r="E602" s="12"/>
      <c r="F602" s="429"/>
      <c r="G602" s="57"/>
      <c r="H602" s="57"/>
      <c r="I602" s="57"/>
      <c r="J602" s="430"/>
    </row>
    <row r="603" spans="1:10" s="58" customFormat="1" hidden="1" x14ac:dyDescent="0.25">
      <c r="A603" s="53"/>
      <c r="B603" s="109" t="s">
        <v>249</v>
      </c>
      <c r="C603" s="53">
        <v>1</v>
      </c>
      <c r="D603" s="14" t="s">
        <v>187</v>
      </c>
      <c r="E603" s="12"/>
      <c r="F603" s="429">
        <f>F605+F606+F608+F610</f>
        <v>19504</v>
      </c>
      <c r="G603" s="57"/>
      <c r="H603" s="57"/>
      <c r="I603" s="57"/>
      <c r="J603" s="430"/>
    </row>
    <row r="604" spans="1:10" s="58" customFormat="1" hidden="1" x14ac:dyDescent="0.25">
      <c r="A604" s="53"/>
      <c r="B604" s="109" t="s">
        <v>249</v>
      </c>
      <c r="C604" s="53">
        <v>1</v>
      </c>
      <c r="D604" s="18" t="s">
        <v>113</v>
      </c>
      <c r="E604" s="12"/>
      <c r="F604" s="429"/>
      <c r="G604" s="57"/>
      <c r="H604" s="57"/>
      <c r="I604" s="57"/>
      <c r="J604" s="430"/>
    </row>
    <row r="605" spans="1:10" s="58" customFormat="1" ht="30" hidden="1" x14ac:dyDescent="0.25">
      <c r="A605" s="53"/>
      <c r="B605" s="109" t="s">
        <v>249</v>
      </c>
      <c r="C605" s="53">
        <v>1</v>
      </c>
      <c r="D605" s="18" t="s">
        <v>114</v>
      </c>
      <c r="E605" s="12"/>
      <c r="F605" s="59">
        <v>7512</v>
      </c>
      <c r="G605" s="57"/>
      <c r="H605" s="57"/>
      <c r="I605" s="57"/>
      <c r="J605" s="430"/>
    </row>
    <row r="606" spans="1:10" s="58" customFormat="1" ht="30" hidden="1" x14ac:dyDescent="0.25">
      <c r="A606" s="53"/>
      <c r="B606" s="109" t="s">
        <v>249</v>
      </c>
      <c r="C606" s="53">
        <v>1</v>
      </c>
      <c r="D606" s="15" t="s">
        <v>361</v>
      </c>
      <c r="E606" s="12"/>
      <c r="F606" s="59">
        <v>2500</v>
      </c>
      <c r="G606" s="57"/>
      <c r="H606" s="57"/>
      <c r="I606" s="57"/>
      <c r="J606" s="430"/>
    </row>
    <row r="607" spans="1:10" s="58" customFormat="1" ht="45" hidden="1" x14ac:dyDescent="0.25">
      <c r="A607" s="53"/>
      <c r="B607" s="109" t="s">
        <v>249</v>
      </c>
      <c r="C607" s="53">
        <v>1</v>
      </c>
      <c r="D607" s="15" t="s">
        <v>219</v>
      </c>
      <c r="E607" s="12"/>
      <c r="F607" s="429"/>
      <c r="G607" s="57"/>
      <c r="H607" s="57"/>
      <c r="I607" s="57"/>
      <c r="J607" s="430"/>
    </row>
    <row r="608" spans="1:10" s="58" customFormat="1" ht="45" hidden="1" x14ac:dyDescent="0.25">
      <c r="A608" s="53"/>
      <c r="B608" s="109" t="s">
        <v>249</v>
      </c>
      <c r="C608" s="53">
        <v>1</v>
      </c>
      <c r="D608" s="15" t="s">
        <v>188</v>
      </c>
      <c r="E608" s="12"/>
      <c r="F608" s="59">
        <v>7000</v>
      </c>
      <c r="G608" s="57"/>
      <c r="H608" s="57"/>
      <c r="I608" s="57"/>
      <c r="J608" s="430"/>
    </row>
    <row r="609" spans="1:10" s="58" customFormat="1" ht="75" hidden="1" x14ac:dyDescent="0.25">
      <c r="A609" s="53"/>
      <c r="B609" s="109"/>
      <c r="C609" s="53">
        <v>1</v>
      </c>
      <c r="D609" s="15" t="s">
        <v>353</v>
      </c>
      <c r="E609" s="12"/>
      <c r="F609" s="59">
        <v>3000</v>
      </c>
      <c r="G609" s="57"/>
      <c r="H609" s="57"/>
      <c r="I609" s="57"/>
      <c r="J609" s="430"/>
    </row>
    <row r="610" spans="1:10" s="58" customFormat="1" ht="15.75" hidden="1" customHeight="1" x14ac:dyDescent="0.25">
      <c r="A610" s="53"/>
      <c r="B610" s="109"/>
      <c r="C610" s="53">
        <v>1</v>
      </c>
      <c r="D610" s="15" t="s">
        <v>293</v>
      </c>
      <c r="E610" s="12"/>
      <c r="F610" s="59">
        <v>2492</v>
      </c>
      <c r="G610" s="57"/>
      <c r="H610" s="57"/>
      <c r="I610" s="57"/>
      <c r="J610" s="430"/>
    </row>
    <row r="611" spans="1:10" s="58" customFormat="1" hidden="1" x14ac:dyDescent="0.25">
      <c r="A611" s="53"/>
      <c r="B611" s="109" t="s">
        <v>249</v>
      </c>
      <c r="C611" s="53">
        <v>1</v>
      </c>
      <c r="D611" s="60" t="s">
        <v>88</v>
      </c>
      <c r="E611" s="12"/>
      <c r="F611" s="429">
        <f>F612</f>
        <v>42000</v>
      </c>
      <c r="G611" s="57"/>
      <c r="H611" s="57"/>
      <c r="I611" s="57"/>
      <c r="J611" s="430"/>
    </row>
    <row r="612" spans="1:10" s="58" customFormat="1" hidden="1" x14ac:dyDescent="0.25">
      <c r="A612" s="53"/>
      <c r="B612" s="109" t="s">
        <v>249</v>
      </c>
      <c r="C612" s="53">
        <v>1</v>
      </c>
      <c r="D612" s="19" t="s">
        <v>145</v>
      </c>
      <c r="E612" s="12"/>
      <c r="F612" s="59">
        <v>42000</v>
      </c>
      <c r="G612" s="57"/>
      <c r="H612" s="57"/>
      <c r="I612" s="57"/>
      <c r="J612" s="430"/>
    </row>
    <row r="613" spans="1:10" s="58" customFormat="1" ht="47.25" hidden="1" x14ac:dyDescent="0.25">
      <c r="A613" s="53"/>
      <c r="B613" s="109" t="s">
        <v>249</v>
      </c>
      <c r="C613" s="53">
        <v>1</v>
      </c>
      <c r="D613" s="61" t="s">
        <v>292</v>
      </c>
      <c r="E613" s="12"/>
      <c r="F613" s="429">
        <f>F614+F619</f>
        <v>17652</v>
      </c>
      <c r="G613" s="57"/>
      <c r="H613" s="57"/>
      <c r="I613" s="57"/>
      <c r="J613" s="430"/>
    </row>
    <row r="614" spans="1:10" s="58" customFormat="1" ht="17.25" hidden="1" customHeight="1" x14ac:dyDescent="0.25">
      <c r="A614" s="53"/>
      <c r="B614" s="109" t="s">
        <v>249</v>
      </c>
      <c r="C614" s="53">
        <v>1</v>
      </c>
      <c r="D614" s="16" t="s">
        <v>189</v>
      </c>
      <c r="E614" s="12"/>
      <c r="F614" s="429">
        <f>F615+F616+F617+F618</f>
        <v>7657</v>
      </c>
      <c r="G614" s="57"/>
      <c r="H614" s="57"/>
      <c r="I614" s="57"/>
      <c r="J614" s="430"/>
    </row>
    <row r="615" spans="1:10" s="58" customFormat="1" ht="17.25" hidden="1" customHeight="1" x14ac:dyDescent="0.25">
      <c r="A615" s="53"/>
      <c r="B615" s="109" t="s">
        <v>249</v>
      </c>
      <c r="C615" s="53">
        <v>1</v>
      </c>
      <c r="D615" s="15" t="s">
        <v>190</v>
      </c>
      <c r="E615" s="12"/>
      <c r="F615" s="59">
        <v>7550</v>
      </c>
      <c r="G615" s="57"/>
      <c r="H615" s="57"/>
      <c r="I615" s="57"/>
      <c r="J615" s="430"/>
    </row>
    <row r="616" spans="1:10" s="58" customFormat="1" ht="45" hidden="1" x14ac:dyDescent="0.25">
      <c r="A616" s="53"/>
      <c r="B616" s="109" t="s">
        <v>249</v>
      </c>
      <c r="C616" s="53">
        <v>1</v>
      </c>
      <c r="D616" s="15" t="s">
        <v>191</v>
      </c>
      <c r="E616" s="12"/>
      <c r="F616" s="59"/>
      <c r="G616" s="57"/>
      <c r="H616" s="57"/>
      <c r="I616" s="57"/>
      <c r="J616" s="430"/>
    </row>
    <row r="617" spans="1:10" s="58" customFormat="1" ht="30" hidden="1" x14ac:dyDescent="0.25">
      <c r="A617" s="53"/>
      <c r="B617" s="109" t="s">
        <v>249</v>
      </c>
      <c r="C617" s="53">
        <v>1</v>
      </c>
      <c r="D617" s="15" t="s">
        <v>192</v>
      </c>
      <c r="E617" s="12"/>
      <c r="F617" s="59">
        <v>65</v>
      </c>
      <c r="G617" s="57"/>
      <c r="H617" s="57"/>
      <c r="I617" s="57"/>
      <c r="J617" s="430"/>
    </row>
    <row r="618" spans="1:10" s="58" customFormat="1" ht="30" hidden="1" x14ac:dyDescent="0.25">
      <c r="A618" s="53"/>
      <c r="B618" s="109" t="s">
        <v>249</v>
      </c>
      <c r="C618" s="53">
        <v>1</v>
      </c>
      <c r="D618" s="15" t="s">
        <v>193</v>
      </c>
      <c r="E618" s="12"/>
      <c r="F618" s="59">
        <v>42</v>
      </c>
      <c r="G618" s="57"/>
      <c r="H618" s="57"/>
      <c r="I618" s="57"/>
      <c r="J618" s="430"/>
    </row>
    <row r="619" spans="1:10" s="58" customFormat="1" ht="30" hidden="1" x14ac:dyDescent="0.25">
      <c r="A619" s="53"/>
      <c r="B619" s="109" t="s">
        <v>249</v>
      </c>
      <c r="C619" s="53">
        <v>1</v>
      </c>
      <c r="D619" s="16" t="s">
        <v>194</v>
      </c>
      <c r="E619" s="12"/>
      <c r="F619" s="429">
        <f>SUM(F620:F622)</f>
        <v>9995</v>
      </c>
      <c r="G619" s="57"/>
      <c r="H619" s="57"/>
      <c r="I619" s="57"/>
      <c r="J619" s="430"/>
    </row>
    <row r="620" spans="1:10" s="58" customFormat="1" ht="30" hidden="1" x14ac:dyDescent="0.25">
      <c r="A620" s="53">
        <v>1</v>
      </c>
      <c r="B620" s="109" t="s">
        <v>249</v>
      </c>
      <c r="C620" s="53">
        <v>1</v>
      </c>
      <c r="D620" s="15" t="s">
        <v>195</v>
      </c>
      <c r="E620" s="62"/>
      <c r="F620" s="63">
        <v>2665</v>
      </c>
      <c r="G620" s="57"/>
      <c r="H620" s="57"/>
      <c r="I620" s="57"/>
      <c r="J620" s="430"/>
    </row>
    <row r="621" spans="1:10" s="58" customFormat="1" ht="45" hidden="1" x14ac:dyDescent="0.25">
      <c r="A621" s="53">
        <v>1</v>
      </c>
      <c r="B621" s="109" t="s">
        <v>249</v>
      </c>
      <c r="C621" s="53">
        <v>1</v>
      </c>
      <c r="D621" s="15" t="s">
        <v>196</v>
      </c>
      <c r="E621" s="62"/>
      <c r="F621" s="63">
        <v>5500</v>
      </c>
      <c r="G621" s="57"/>
      <c r="H621" s="57"/>
      <c r="I621" s="57"/>
      <c r="J621" s="430"/>
    </row>
    <row r="622" spans="1:10" s="58" customFormat="1" ht="45" hidden="1" x14ac:dyDescent="0.25">
      <c r="A622" s="53">
        <v>1</v>
      </c>
      <c r="B622" s="109" t="s">
        <v>249</v>
      </c>
      <c r="C622" s="53">
        <v>1</v>
      </c>
      <c r="D622" s="15" t="s">
        <v>197</v>
      </c>
      <c r="E622" s="62"/>
      <c r="F622" s="55">
        <v>1830</v>
      </c>
      <c r="G622" s="57"/>
      <c r="H622" s="57"/>
      <c r="I622" s="57"/>
      <c r="J622" s="430"/>
    </row>
    <row r="623" spans="1:10" s="58" customFormat="1" hidden="1" x14ac:dyDescent="0.25">
      <c r="A623" s="53"/>
      <c r="B623" s="109"/>
      <c r="C623" s="53">
        <v>1</v>
      </c>
      <c r="D623" s="12" t="s">
        <v>96</v>
      </c>
      <c r="E623" s="62"/>
      <c r="F623" s="55"/>
      <c r="G623" s="57"/>
      <c r="H623" s="57"/>
      <c r="I623" s="57"/>
      <c r="J623" s="430"/>
    </row>
    <row r="624" spans="1:10" s="58" customFormat="1" hidden="1" x14ac:dyDescent="0.25">
      <c r="A624" s="53">
        <v>1</v>
      </c>
      <c r="B624" s="109" t="s">
        <v>249</v>
      </c>
      <c r="C624" s="53">
        <v>1</v>
      </c>
      <c r="D624" s="14" t="s">
        <v>296</v>
      </c>
      <c r="E624" s="62"/>
      <c r="F624" s="398">
        <f>SUM(F625,F626,F630,F631,F632,F633)</f>
        <v>2427</v>
      </c>
      <c r="G624" s="57"/>
      <c r="H624" s="57"/>
      <c r="I624" s="57"/>
      <c r="J624" s="52"/>
    </row>
    <row r="625" spans="1:10" s="58" customFormat="1" hidden="1" x14ac:dyDescent="0.25">
      <c r="A625" s="53">
        <v>1</v>
      </c>
      <c r="B625" s="109" t="s">
        <v>249</v>
      </c>
      <c r="C625" s="53">
        <v>1</v>
      </c>
      <c r="D625" s="15" t="s">
        <v>297</v>
      </c>
      <c r="E625" s="62"/>
      <c r="F625" s="55"/>
      <c r="G625" s="57"/>
      <c r="H625" s="57"/>
      <c r="I625" s="57"/>
      <c r="J625" s="52"/>
    </row>
    <row r="626" spans="1:10" s="58" customFormat="1" ht="30" hidden="1" x14ac:dyDescent="0.25">
      <c r="A626" s="53">
        <v>1</v>
      </c>
      <c r="B626" s="109" t="s">
        <v>249</v>
      </c>
      <c r="C626" s="53">
        <v>1</v>
      </c>
      <c r="D626" s="16" t="s">
        <v>298</v>
      </c>
      <c r="E626" s="62"/>
      <c r="F626" s="433">
        <f>F627+F628/4</f>
        <v>0</v>
      </c>
      <c r="G626" s="57"/>
      <c r="H626" s="57"/>
      <c r="I626" s="57"/>
      <c r="J626" s="52"/>
    </row>
    <row r="627" spans="1:10" s="124" customFormat="1" hidden="1" x14ac:dyDescent="0.25">
      <c r="A627" s="104"/>
      <c r="B627" s="109" t="s">
        <v>249</v>
      </c>
      <c r="C627" s="53">
        <v>1</v>
      </c>
      <c r="D627" s="15" t="s">
        <v>299</v>
      </c>
      <c r="E627" s="13"/>
      <c r="F627" s="17"/>
      <c r="G627" s="10"/>
      <c r="H627" s="10"/>
      <c r="I627" s="10"/>
      <c r="J627" s="52"/>
    </row>
    <row r="628" spans="1:10" ht="30" hidden="1" x14ac:dyDescent="0.25">
      <c r="A628" s="53">
        <v>1</v>
      </c>
      <c r="B628" s="109" t="s">
        <v>249</v>
      </c>
      <c r="C628" s="53">
        <v>1</v>
      </c>
      <c r="D628" s="15" t="s">
        <v>300</v>
      </c>
      <c r="E628" s="13"/>
      <c r="F628" s="55"/>
      <c r="G628" s="2"/>
      <c r="H628" s="2"/>
      <c r="I628" s="2"/>
    </row>
    <row r="629" spans="1:10" ht="45" hidden="1" x14ac:dyDescent="0.25">
      <c r="A629" s="53">
        <v>1</v>
      </c>
      <c r="B629" s="109" t="s">
        <v>249</v>
      </c>
      <c r="C629" s="53">
        <v>1</v>
      </c>
      <c r="D629" s="15" t="s">
        <v>301</v>
      </c>
      <c r="E629" s="41"/>
      <c r="F629" s="55"/>
      <c r="G629" s="2"/>
      <c r="H629" s="2"/>
      <c r="I629" s="2"/>
    </row>
    <row r="630" spans="1:10" s="58" customFormat="1" ht="45" hidden="1" x14ac:dyDescent="0.25">
      <c r="A630" s="53">
        <v>1</v>
      </c>
      <c r="B630" s="109" t="s">
        <v>249</v>
      </c>
      <c r="C630" s="53">
        <v>1</v>
      </c>
      <c r="D630" s="15" t="s">
        <v>309</v>
      </c>
      <c r="E630" s="64"/>
      <c r="F630" s="432"/>
      <c r="G630" s="65"/>
      <c r="H630" s="65"/>
      <c r="I630" s="43"/>
      <c r="J630" s="52"/>
    </row>
    <row r="631" spans="1:10" s="58" customFormat="1" ht="45" hidden="1" x14ac:dyDescent="0.25">
      <c r="A631" s="53">
        <v>1</v>
      </c>
      <c r="B631" s="109" t="s">
        <v>249</v>
      </c>
      <c r="C631" s="53">
        <v>1</v>
      </c>
      <c r="D631" s="18" t="s">
        <v>310</v>
      </c>
      <c r="E631" s="13"/>
      <c r="F631" s="55"/>
      <c r="G631" s="65"/>
      <c r="H631" s="65"/>
      <c r="I631" s="43"/>
      <c r="J631" s="52"/>
    </row>
    <row r="632" spans="1:10" s="58" customFormat="1" ht="75" hidden="1" x14ac:dyDescent="0.25">
      <c r="A632" s="53"/>
      <c r="B632" s="109"/>
      <c r="C632" s="53">
        <v>1</v>
      </c>
      <c r="D632" s="18" t="s">
        <v>354</v>
      </c>
      <c r="E632" s="13"/>
      <c r="F632" s="55">
        <v>50</v>
      </c>
      <c r="G632" s="65"/>
      <c r="H632" s="65"/>
      <c r="I632" s="43"/>
      <c r="J632" s="52"/>
    </row>
    <row r="633" spans="1:10" s="58" customFormat="1" ht="28.5" hidden="1" x14ac:dyDescent="0.25">
      <c r="A633" s="53"/>
      <c r="B633" s="109"/>
      <c r="C633" s="53">
        <v>1</v>
      </c>
      <c r="D633" s="66" t="s">
        <v>344</v>
      </c>
      <c r="E633" s="13"/>
      <c r="F633" s="55">
        <f>F634</f>
        <v>2377</v>
      </c>
      <c r="G633" s="59"/>
      <c r="H633" s="59"/>
      <c r="I633" s="81"/>
      <c r="J633" s="52"/>
    </row>
    <row r="634" spans="1:10" s="58" customFormat="1" hidden="1" x14ac:dyDescent="0.25">
      <c r="A634" s="53"/>
      <c r="B634" s="109"/>
      <c r="C634" s="53">
        <v>1</v>
      </c>
      <c r="D634" s="18" t="s">
        <v>345</v>
      </c>
      <c r="E634" s="13"/>
      <c r="F634" s="55">
        <v>2377</v>
      </c>
      <c r="G634" s="59"/>
      <c r="H634" s="59"/>
      <c r="I634" s="81"/>
      <c r="J634" s="52"/>
    </row>
    <row r="635" spans="1:10" s="58" customFormat="1" ht="28.5" hidden="1" x14ac:dyDescent="0.25">
      <c r="A635" s="53"/>
      <c r="B635" s="109"/>
      <c r="C635" s="53">
        <v>1</v>
      </c>
      <c r="D635" s="66" t="s">
        <v>346</v>
      </c>
      <c r="E635" s="13"/>
      <c r="F635" s="55"/>
      <c r="G635" s="59"/>
      <c r="H635" s="59"/>
      <c r="I635" s="81"/>
      <c r="J635" s="52"/>
    </row>
    <row r="636" spans="1:10" s="58" customFormat="1" hidden="1" x14ac:dyDescent="0.25">
      <c r="A636" s="53">
        <v>1</v>
      </c>
      <c r="B636" s="109" t="s">
        <v>249</v>
      </c>
      <c r="C636" s="53">
        <v>1</v>
      </c>
      <c r="D636" s="14" t="s">
        <v>303</v>
      </c>
      <c r="E636" s="13"/>
      <c r="F636" s="55"/>
      <c r="G636" s="65"/>
      <c r="H636" s="65"/>
      <c r="I636" s="43"/>
      <c r="J636" s="52"/>
    </row>
    <row r="637" spans="1:10" s="58" customFormat="1" hidden="1" x14ac:dyDescent="0.25">
      <c r="A637" s="53">
        <v>1</v>
      </c>
      <c r="B637" s="109" t="s">
        <v>249</v>
      </c>
      <c r="C637" s="53">
        <v>1</v>
      </c>
      <c r="D637" s="14" t="s">
        <v>304</v>
      </c>
      <c r="E637" s="13"/>
      <c r="F637" s="55"/>
      <c r="G637" s="65"/>
      <c r="H637" s="65"/>
      <c r="I637" s="43"/>
      <c r="J637" s="52"/>
    </row>
    <row r="638" spans="1:10" s="58" customFormat="1" hidden="1" x14ac:dyDescent="0.25">
      <c r="A638" s="53">
        <v>1</v>
      </c>
      <c r="B638" s="109" t="s">
        <v>249</v>
      </c>
      <c r="C638" s="53">
        <v>1</v>
      </c>
      <c r="D638" s="15" t="s">
        <v>305</v>
      </c>
      <c r="E638" s="13"/>
      <c r="F638" s="55"/>
      <c r="G638" s="65"/>
      <c r="H638" s="65"/>
      <c r="I638" s="43"/>
      <c r="J638" s="52"/>
    </row>
    <row r="639" spans="1:10" s="58" customFormat="1" hidden="1" x14ac:dyDescent="0.25">
      <c r="A639" s="53">
        <v>1</v>
      </c>
      <c r="B639" s="109" t="s">
        <v>249</v>
      </c>
      <c r="C639" s="53">
        <v>1</v>
      </c>
      <c r="D639" s="42" t="s">
        <v>314</v>
      </c>
      <c r="E639" s="13"/>
      <c r="F639" s="63"/>
      <c r="G639" s="65"/>
      <c r="H639" s="65"/>
      <c r="I639" s="43"/>
      <c r="J639" s="52"/>
    </row>
    <row r="640" spans="1:10" s="58" customFormat="1" ht="29.25" hidden="1" x14ac:dyDescent="0.25">
      <c r="A640" s="53">
        <v>1</v>
      </c>
      <c r="B640" s="109" t="s">
        <v>249</v>
      </c>
      <c r="C640" s="53">
        <v>1</v>
      </c>
      <c r="D640" s="14" t="s">
        <v>306</v>
      </c>
      <c r="E640" s="13"/>
      <c r="F640" s="63">
        <v>10000</v>
      </c>
      <c r="G640" s="65"/>
      <c r="H640" s="65"/>
      <c r="I640" s="43"/>
      <c r="J640" s="52"/>
    </row>
    <row r="641" spans="1:10" s="58" customFormat="1" hidden="1" x14ac:dyDescent="0.25">
      <c r="A641" s="53">
        <v>1</v>
      </c>
      <c r="B641" s="109" t="s">
        <v>249</v>
      </c>
      <c r="C641" s="53">
        <v>1</v>
      </c>
      <c r="D641" s="19" t="s">
        <v>115</v>
      </c>
      <c r="E641" s="13"/>
      <c r="F641" s="63"/>
      <c r="G641" s="65"/>
      <c r="H641" s="65"/>
      <c r="I641" s="503"/>
      <c r="J641" s="52"/>
    </row>
    <row r="642" spans="1:10" s="58" customFormat="1" ht="42.75" hidden="1" customHeight="1" x14ac:dyDescent="0.25">
      <c r="A642" s="53">
        <v>1</v>
      </c>
      <c r="B642" s="109" t="s">
        <v>249</v>
      </c>
      <c r="C642" s="53">
        <v>1</v>
      </c>
      <c r="D642" s="21" t="s">
        <v>312</v>
      </c>
      <c r="E642" s="13"/>
      <c r="F642" s="63"/>
      <c r="G642" s="65"/>
      <c r="H642" s="65"/>
      <c r="I642" s="43"/>
      <c r="J642" s="52"/>
    </row>
    <row r="643" spans="1:10" s="58" customFormat="1" hidden="1" x14ac:dyDescent="0.25">
      <c r="A643" s="53">
        <v>1</v>
      </c>
      <c r="B643" s="109" t="s">
        <v>249</v>
      </c>
      <c r="C643" s="53">
        <v>1</v>
      </c>
      <c r="D643" s="20" t="s">
        <v>158</v>
      </c>
      <c r="E643" s="13"/>
      <c r="F643" s="432">
        <f>F644+F645+F646</f>
        <v>2690</v>
      </c>
      <c r="G643" s="65"/>
      <c r="H643" s="65"/>
      <c r="I643" s="43"/>
      <c r="J643" s="52"/>
    </row>
    <row r="644" spans="1:10" s="58" customFormat="1" ht="18" hidden="1" customHeight="1" x14ac:dyDescent="0.25">
      <c r="A644" s="53">
        <v>1</v>
      </c>
      <c r="B644" s="109" t="s">
        <v>249</v>
      </c>
      <c r="C644" s="53">
        <v>1</v>
      </c>
      <c r="D644" s="208" t="s">
        <v>202</v>
      </c>
      <c r="E644" s="13"/>
      <c r="F644" s="75">
        <v>600</v>
      </c>
      <c r="G644" s="65"/>
      <c r="H644" s="65"/>
      <c r="I644" s="43"/>
      <c r="J644" s="52"/>
    </row>
    <row r="645" spans="1:10" s="58" customFormat="1" ht="30" hidden="1" x14ac:dyDescent="0.25">
      <c r="A645" s="53">
        <v>1</v>
      </c>
      <c r="B645" s="109" t="s">
        <v>249</v>
      </c>
      <c r="C645" s="53">
        <v>1</v>
      </c>
      <c r="D645" s="208" t="s">
        <v>203</v>
      </c>
      <c r="E645" s="13"/>
      <c r="F645" s="55">
        <v>1200</v>
      </c>
      <c r="G645" s="65"/>
      <c r="H645" s="65"/>
      <c r="I645" s="43"/>
      <c r="J645" s="52"/>
    </row>
    <row r="646" spans="1:10" s="58" customFormat="1" hidden="1" x14ac:dyDescent="0.25">
      <c r="A646" s="53">
        <v>1</v>
      </c>
      <c r="B646" s="109" t="s">
        <v>249</v>
      </c>
      <c r="C646" s="53">
        <v>1</v>
      </c>
      <c r="D646" s="208" t="s">
        <v>118</v>
      </c>
      <c r="E646" s="13"/>
      <c r="F646" s="55">
        <v>890</v>
      </c>
      <c r="G646" s="65"/>
      <c r="H646" s="65"/>
      <c r="I646" s="43"/>
      <c r="J646" s="52"/>
    </row>
    <row r="647" spans="1:10" s="58" customFormat="1" hidden="1" x14ac:dyDescent="0.25">
      <c r="A647" s="53"/>
      <c r="B647" s="109" t="s">
        <v>249</v>
      </c>
      <c r="C647" s="53">
        <v>1</v>
      </c>
      <c r="D647" s="21" t="s">
        <v>198</v>
      </c>
      <c r="E647" s="13"/>
      <c r="F647" s="398">
        <f>F624+F603</f>
        <v>21931</v>
      </c>
      <c r="G647" s="65"/>
      <c r="H647" s="65"/>
      <c r="I647" s="43"/>
      <c r="J647" s="430"/>
    </row>
    <row r="648" spans="1:10" s="58" customFormat="1" ht="29.25" hidden="1" x14ac:dyDescent="0.25">
      <c r="A648" s="53"/>
      <c r="B648" s="109" t="s">
        <v>249</v>
      </c>
      <c r="C648" s="53">
        <v>1</v>
      </c>
      <c r="D648" s="21" t="s">
        <v>199</v>
      </c>
      <c r="E648" s="13"/>
      <c r="F648" s="398">
        <f>F613</f>
        <v>17652</v>
      </c>
      <c r="G648" s="65"/>
      <c r="H648" s="65"/>
      <c r="I648" s="43"/>
      <c r="J648" s="430"/>
    </row>
    <row r="649" spans="1:10" s="58" customFormat="1" hidden="1" x14ac:dyDescent="0.25">
      <c r="A649" s="53"/>
      <c r="B649" s="109" t="s">
        <v>249</v>
      </c>
      <c r="C649" s="53">
        <v>1</v>
      </c>
      <c r="D649" s="21" t="s">
        <v>200</v>
      </c>
      <c r="E649" s="13"/>
      <c r="F649" s="398">
        <f>F636+F611</f>
        <v>42000</v>
      </c>
      <c r="G649" s="65"/>
      <c r="H649" s="65"/>
      <c r="I649" s="43"/>
      <c r="J649" s="430"/>
    </row>
    <row r="650" spans="1:10" s="58" customFormat="1" ht="29.25" hidden="1" x14ac:dyDescent="0.25">
      <c r="A650" s="53"/>
      <c r="B650" s="109" t="s">
        <v>249</v>
      </c>
      <c r="C650" s="53">
        <v>1</v>
      </c>
      <c r="D650" s="21" t="s">
        <v>201</v>
      </c>
      <c r="E650" s="13"/>
      <c r="F650" s="398">
        <f>F640</f>
        <v>10000</v>
      </c>
      <c r="G650" s="65"/>
      <c r="H650" s="65"/>
      <c r="I650" s="43"/>
      <c r="J650" s="430"/>
    </row>
    <row r="651" spans="1:10" s="58" customFormat="1" hidden="1" x14ac:dyDescent="0.25">
      <c r="A651" s="53"/>
      <c r="B651" s="109" t="s">
        <v>249</v>
      </c>
      <c r="C651" s="53">
        <v>1</v>
      </c>
      <c r="D651" s="22" t="s">
        <v>109</v>
      </c>
      <c r="E651" s="13"/>
      <c r="F651" s="398">
        <f>F648+F647+F650+F612*2.9</f>
        <v>171383</v>
      </c>
      <c r="G651" s="65"/>
      <c r="H651" s="65"/>
      <c r="I651" s="43"/>
      <c r="J651" s="430"/>
    </row>
    <row r="652" spans="1:10" hidden="1" x14ac:dyDescent="0.25">
      <c r="A652" s="53">
        <v>1</v>
      </c>
      <c r="B652" s="109" t="s">
        <v>249</v>
      </c>
      <c r="C652" s="53">
        <v>1</v>
      </c>
      <c r="D652" s="44" t="s">
        <v>7</v>
      </c>
      <c r="E652" s="504"/>
      <c r="F652" s="505"/>
      <c r="G652" s="2"/>
      <c r="H652" s="2"/>
      <c r="I652" s="2"/>
    </row>
    <row r="653" spans="1:10" hidden="1" x14ac:dyDescent="0.25">
      <c r="A653" s="53">
        <v>1</v>
      </c>
      <c r="B653" s="109" t="s">
        <v>249</v>
      </c>
      <c r="C653" s="53">
        <v>1</v>
      </c>
      <c r="D653" s="306" t="s">
        <v>71</v>
      </c>
      <c r="E653" s="13"/>
      <c r="F653" s="505"/>
      <c r="G653" s="2"/>
      <c r="H653" s="2"/>
      <c r="I653" s="2"/>
    </row>
    <row r="654" spans="1:10" hidden="1" x14ac:dyDescent="0.25">
      <c r="A654" s="53"/>
      <c r="B654" s="109"/>
      <c r="C654" s="53">
        <v>1</v>
      </c>
      <c r="D654" s="439" t="s">
        <v>84</v>
      </c>
      <c r="E654" s="17">
        <v>240</v>
      </c>
      <c r="F654" s="506">
        <v>61</v>
      </c>
      <c r="G654" s="507">
        <v>1.75</v>
      </c>
      <c r="H654" s="2">
        <f>ROUND(I654/E654,0)</f>
        <v>0</v>
      </c>
      <c r="I654" s="2">
        <f>ROUND(F654*G654,0)</f>
        <v>107</v>
      </c>
    </row>
    <row r="655" spans="1:10" hidden="1" x14ac:dyDescent="0.25">
      <c r="A655" s="53">
        <v>1</v>
      </c>
      <c r="B655" s="109" t="s">
        <v>249</v>
      </c>
      <c r="C655" s="53">
        <v>1</v>
      </c>
      <c r="D655" s="439" t="s">
        <v>24</v>
      </c>
      <c r="E655" s="54">
        <v>240</v>
      </c>
      <c r="F655" s="55">
        <v>324</v>
      </c>
      <c r="G655" s="47">
        <v>8</v>
      </c>
      <c r="H655" s="2">
        <f>ROUND(I655/E655,0)</f>
        <v>11</v>
      </c>
      <c r="I655" s="2">
        <f>ROUND(F655*G655,0)</f>
        <v>2592</v>
      </c>
    </row>
    <row r="656" spans="1:10" hidden="1" x14ac:dyDescent="0.25">
      <c r="A656" s="53">
        <v>1</v>
      </c>
      <c r="B656" s="109" t="s">
        <v>249</v>
      </c>
      <c r="C656" s="53">
        <v>1</v>
      </c>
      <c r="D656" s="439" t="s">
        <v>35</v>
      </c>
      <c r="E656" s="54">
        <v>240</v>
      </c>
      <c r="F656" s="55">
        <v>1368</v>
      </c>
      <c r="G656" s="47">
        <v>8</v>
      </c>
      <c r="H656" s="2">
        <f>ROUND(I656/E656,0)</f>
        <v>46</v>
      </c>
      <c r="I656" s="2">
        <f>ROUND(F656*G656,0)</f>
        <v>10944</v>
      </c>
    </row>
    <row r="657" spans="1:10" hidden="1" x14ac:dyDescent="0.25">
      <c r="A657" s="53">
        <v>1</v>
      </c>
      <c r="B657" s="109" t="s">
        <v>249</v>
      </c>
      <c r="C657" s="53">
        <v>1</v>
      </c>
      <c r="D657" s="497" t="s">
        <v>92</v>
      </c>
      <c r="E657" s="13"/>
      <c r="F657" s="459">
        <v>1753</v>
      </c>
      <c r="G657" s="476">
        <f>I657/F657</f>
        <v>7.7826583000570455</v>
      </c>
      <c r="H657" s="31">
        <f>H655+H656+H654</f>
        <v>57</v>
      </c>
      <c r="I657" s="31">
        <f>I655+I656+I654</f>
        <v>13643</v>
      </c>
    </row>
    <row r="658" spans="1:10" hidden="1" x14ac:dyDescent="0.25">
      <c r="A658" s="53">
        <v>1</v>
      </c>
      <c r="B658" s="109" t="s">
        <v>249</v>
      </c>
      <c r="C658" s="53">
        <v>1</v>
      </c>
      <c r="D658" s="500" t="s">
        <v>86</v>
      </c>
      <c r="E658" s="69"/>
      <c r="F658" s="446">
        <f>F657</f>
        <v>1753</v>
      </c>
      <c r="G658" s="82">
        <f>I658/F658</f>
        <v>7.7826583000570455</v>
      </c>
      <c r="H658" s="302">
        <f>H657</f>
        <v>57</v>
      </c>
      <c r="I658" s="302">
        <f>I657</f>
        <v>13643</v>
      </c>
    </row>
    <row r="659" spans="1:10" ht="15.75" hidden="1" thickBot="1" x14ac:dyDescent="0.3">
      <c r="A659" s="53">
        <v>1</v>
      </c>
      <c r="B659" s="109" t="s">
        <v>249</v>
      </c>
      <c r="C659" s="53">
        <v>1</v>
      </c>
      <c r="D659" s="417" t="s">
        <v>220</v>
      </c>
      <c r="E659" s="418"/>
      <c r="F659" s="494"/>
      <c r="G659" s="418"/>
      <c r="H659" s="418"/>
      <c r="I659" s="418"/>
    </row>
    <row r="660" spans="1:10" ht="29.25" x14ac:dyDescent="0.25">
      <c r="A660" s="53">
        <v>1</v>
      </c>
      <c r="B660" s="109" t="s">
        <v>250</v>
      </c>
      <c r="C660" s="53">
        <v>1</v>
      </c>
      <c r="D660" s="674" t="s">
        <v>392</v>
      </c>
      <c r="E660" s="508"/>
      <c r="F660" s="55"/>
      <c r="G660" s="2"/>
      <c r="H660" s="2"/>
      <c r="I660" s="2"/>
    </row>
    <row r="661" spans="1:10" s="58" customFormat="1" ht="46.5" customHeight="1" x14ac:dyDescent="0.25">
      <c r="A661" s="53">
        <v>1</v>
      </c>
      <c r="B661" s="109" t="s">
        <v>250</v>
      </c>
      <c r="C661" s="53">
        <v>1</v>
      </c>
      <c r="D661" s="101" t="s">
        <v>294</v>
      </c>
      <c r="E661" s="12"/>
      <c r="F661" s="429"/>
      <c r="G661" s="57"/>
      <c r="H661" s="57"/>
      <c r="I661" s="57"/>
      <c r="J661" s="430"/>
    </row>
    <row r="662" spans="1:10" s="58" customFormat="1" x14ac:dyDescent="0.25">
      <c r="A662" s="53">
        <v>1</v>
      </c>
      <c r="B662" s="109" t="s">
        <v>250</v>
      </c>
      <c r="C662" s="53">
        <v>1</v>
      </c>
      <c r="D662" s="14" t="s">
        <v>187</v>
      </c>
      <c r="E662" s="62"/>
      <c r="F662" s="432">
        <f>F664+F665+F667+F669</f>
        <v>23045</v>
      </c>
      <c r="G662" s="57"/>
      <c r="H662" s="57"/>
      <c r="I662" s="57"/>
      <c r="J662" s="430"/>
    </row>
    <row r="663" spans="1:10" s="58" customFormat="1" x14ac:dyDescent="0.25">
      <c r="A663" s="53">
        <v>1</v>
      </c>
      <c r="B663" s="109" t="s">
        <v>250</v>
      </c>
      <c r="C663" s="53">
        <v>1</v>
      </c>
      <c r="D663" s="18" t="s">
        <v>113</v>
      </c>
      <c r="E663" s="24"/>
      <c r="F663" s="55"/>
      <c r="G663" s="24"/>
      <c r="H663" s="24"/>
      <c r="I663" s="24"/>
      <c r="J663" s="430"/>
    </row>
    <row r="664" spans="1:10" s="58" customFormat="1" ht="30" x14ac:dyDescent="0.25">
      <c r="A664" s="53"/>
      <c r="B664" s="109" t="s">
        <v>250</v>
      </c>
      <c r="C664" s="53">
        <v>1</v>
      </c>
      <c r="D664" s="18" t="s">
        <v>114</v>
      </c>
      <c r="E664" s="24"/>
      <c r="F664" s="55">
        <v>2480</v>
      </c>
      <c r="G664" s="24"/>
      <c r="H664" s="24"/>
      <c r="I664" s="24"/>
      <c r="J664" s="430"/>
    </row>
    <row r="665" spans="1:10" s="58" customFormat="1" ht="30" x14ac:dyDescent="0.25">
      <c r="A665" s="53"/>
      <c r="B665" s="109" t="s">
        <v>250</v>
      </c>
      <c r="C665" s="53">
        <v>1</v>
      </c>
      <c r="D665" s="15" t="s">
        <v>361</v>
      </c>
      <c r="E665" s="24"/>
      <c r="F665" s="55">
        <v>11678</v>
      </c>
      <c r="G665" s="24"/>
      <c r="H665" s="24"/>
      <c r="I665" s="24"/>
      <c r="J665" s="430"/>
    </row>
    <row r="666" spans="1:10" s="58" customFormat="1" ht="45" x14ac:dyDescent="0.25">
      <c r="A666" s="53"/>
      <c r="B666" s="109" t="s">
        <v>250</v>
      </c>
      <c r="C666" s="53">
        <v>1</v>
      </c>
      <c r="D666" s="15" t="s">
        <v>219</v>
      </c>
      <c r="E666" s="24"/>
      <c r="F666" s="55"/>
      <c r="G666" s="24"/>
      <c r="H666" s="24"/>
      <c r="I666" s="24"/>
      <c r="J666" s="430"/>
    </row>
    <row r="667" spans="1:10" s="58" customFormat="1" ht="45" x14ac:dyDescent="0.25">
      <c r="A667" s="53"/>
      <c r="B667" s="109" t="s">
        <v>250</v>
      </c>
      <c r="C667" s="53">
        <v>1</v>
      </c>
      <c r="D667" s="15" t="s">
        <v>188</v>
      </c>
      <c r="E667" s="24"/>
      <c r="F667" s="55">
        <v>7194</v>
      </c>
      <c r="G667" s="24"/>
      <c r="H667" s="24"/>
      <c r="I667" s="24"/>
      <c r="J667" s="430"/>
    </row>
    <row r="668" spans="1:10" s="58" customFormat="1" ht="75" x14ac:dyDescent="0.25">
      <c r="A668" s="53"/>
      <c r="B668" s="109"/>
      <c r="C668" s="53">
        <v>1</v>
      </c>
      <c r="D668" s="15" t="s">
        <v>353</v>
      </c>
      <c r="E668" s="24"/>
      <c r="F668" s="55">
        <v>5000</v>
      </c>
      <c r="G668" s="24"/>
      <c r="H668" s="24"/>
      <c r="I668" s="24"/>
      <c r="J668" s="430"/>
    </row>
    <row r="669" spans="1:10" s="58" customFormat="1" ht="42" customHeight="1" x14ac:dyDescent="0.25">
      <c r="A669" s="53"/>
      <c r="B669" s="109"/>
      <c r="C669" s="53">
        <v>1</v>
      </c>
      <c r="D669" s="15" t="s">
        <v>293</v>
      </c>
      <c r="E669" s="24"/>
      <c r="F669" s="55">
        <v>1693</v>
      </c>
      <c r="G669" s="24"/>
      <c r="H669" s="24"/>
      <c r="I669" s="24"/>
      <c r="J669" s="430"/>
    </row>
    <row r="670" spans="1:10" s="58" customFormat="1" x14ac:dyDescent="0.25">
      <c r="A670" s="53"/>
      <c r="B670" s="109" t="s">
        <v>250</v>
      </c>
      <c r="C670" s="53">
        <v>1</v>
      </c>
      <c r="D670" s="60" t="s">
        <v>88</v>
      </c>
      <c r="E670" s="24"/>
      <c r="F670" s="55">
        <f>F671</f>
        <v>37172</v>
      </c>
      <c r="G670" s="24"/>
      <c r="H670" s="24"/>
      <c r="I670" s="24"/>
      <c r="J670" s="430"/>
    </row>
    <row r="671" spans="1:10" s="58" customFormat="1" x14ac:dyDescent="0.25">
      <c r="A671" s="53"/>
      <c r="B671" s="109" t="s">
        <v>250</v>
      </c>
      <c r="C671" s="53">
        <v>1</v>
      </c>
      <c r="D671" s="19" t="s">
        <v>145</v>
      </c>
      <c r="E671" s="24"/>
      <c r="F671" s="55">
        <v>37172</v>
      </c>
      <c r="G671" s="24"/>
      <c r="H671" s="24"/>
      <c r="I671" s="24"/>
      <c r="J671" s="430"/>
    </row>
    <row r="672" spans="1:10" s="58" customFormat="1" ht="47.25" x14ac:dyDescent="0.25">
      <c r="A672" s="53"/>
      <c r="B672" s="109" t="s">
        <v>250</v>
      </c>
      <c r="C672" s="53">
        <v>1</v>
      </c>
      <c r="D672" s="61" t="s">
        <v>292</v>
      </c>
      <c r="E672" s="24"/>
      <c r="F672" s="398">
        <f>F673+F678</f>
        <v>11255</v>
      </c>
      <c r="G672" s="24"/>
      <c r="H672" s="24"/>
      <c r="I672" s="24"/>
      <c r="J672" s="430"/>
    </row>
    <row r="673" spans="1:10" s="58" customFormat="1" ht="18" customHeight="1" x14ac:dyDescent="0.25">
      <c r="A673" s="53"/>
      <c r="B673" s="109" t="s">
        <v>250</v>
      </c>
      <c r="C673" s="53">
        <v>1</v>
      </c>
      <c r="D673" s="16" t="s">
        <v>189</v>
      </c>
      <c r="E673" s="24"/>
      <c r="F673" s="398">
        <f>SUM(F674:F677)</f>
        <v>5255</v>
      </c>
      <c r="G673" s="24"/>
      <c r="H673" s="24"/>
      <c r="I673" s="24"/>
      <c r="J673" s="430"/>
    </row>
    <row r="674" spans="1:10" s="58" customFormat="1" ht="18" customHeight="1" x14ac:dyDescent="0.25">
      <c r="A674" s="53"/>
      <c r="B674" s="109" t="s">
        <v>250</v>
      </c>
      <c r="C674" s="53">
        <v>1</v>
      </c>
      <c r="D674" s="15" t="s">
        <v>190</v>
      </c>
      <c r="E674" s="24"/>
      <c r="F674" s="55">
        <v>5131</v>
      </c>
      <c r="G674" s="24"/>
      <c r="H674" s="24"/>
      <c r="I674" s="24"/>
      <c r="J674" s="430"/>
    </row>
    <row r="675" spans="1:10" s="58" customFormat="1" ht="45" x14ac:dyDescent="0.25">
      <c r="A675" s="53"/>
      <c r="B675" s="109" t="s">
        <v>250</v>
      </c>
      <c r="C675" s="53">
        <v>1</v>
      </c>
      <c r="D675" s="15" t="s">
        <v>191</v>
      </c>
      <c r="E675" s="24"/>
      <c r="F675" s="55"/>
      <c r="G675" s="24"/>
      <c r="H675" s="24"/>
      <c r="I675" s="24"/>
      <c r="J675" s="430"/>
    </row>
    <row r="676" spans="1:10" s="58" customFormat="1" ht="30" x14ac:dyDescent="0.25">
      <c r="A676" s="53"/>
      <c r="B676" s="109" t="s">
        <v>250</v>
      </c>
      <c r="C676" s="53">
        <v>1</v>
      </c>
      <c r="D676" s="15" t="s">
        <v>192</v>
      </c>
      <c r="E676" s="24"/>
      <c r="F676" s="55">
        <v>90</v>
      </c>
      <c r="G676" s="24"/>
      <c r="H676" s="24"/>
      <c r="I676" s="24"/>
      <c r="J676" s="430"/>
    </row>
    <row r="677" spans="1:10" s="58" customFormat="1" ht="30" x14ac:dyDescent="0.25">
      <c r="A677" s="53">
        <v>1</v>
      </c>
      <c r="B677" s="109" t="s">
        <v>250</v>
      </c>
      <c r="C677" s="53">
        <v>1</v>
      </c>
      <c r="D677" s="15" t="s">
        <v>193</v>
      </c>
      <c r="E677" s="62"/>
      <c r="F677" s="63">
        <v>34</v>
      </c>
      <c r="G677" s="57"/>
      <c r="H677" s="57"/>
      <c r="I677" s="57"/>
      <c r="J677" s="430"/>
    </row>
    <row r="678" spans="1:10" s="58" customFormat="1" ht="30" x14ac:dyDescent="0.25">
      <c r="A678" s="53">
        <v>1</v>
      </c>
      <c r="B678" s="109" t="s">
        <v>250</v>
      </c>
      <c r="C678" s="53">
        <v>1</v>
      </c>
      <c r="D678" s="16" t="s">
        <v>194</v>
      </c>
      <c r="E678" s="62"/>
      <c r="F678" s="398">
        <f>SUM(F679:F681)</f>
        <v>6000</v>
      </c>
      <c r="G678" s="57"/>
      <c r="H678" s="57"/>
      <c r="I678" s="57"/>
      <c r="J678" s="430"/>
    </row>
    <row r="679" spans="1:10" s="58" customFormat="1" ht="30" x14ac:dyDescent="0.25">
      <c r="A679" s="53">
        <v>1</v>
      </c>
      <c r="B679" s="109" t="s">
        <v>250</v>
      </c>
      <c r="C679" s="53">
        <v>1</v>
      </c>
      <c r="D679" s="15" t="s">
        <v>195</v>
      </c>
      <c r="E679" s="62"/>
      <c r="F679" s="55">
        <v>1838</v>
      </c>
      <c r="G679" s="57"/>
      <c r="H679" s="57"/>
      <c r="I679" s="57"/>
      <c r="J679" s="430"/>
    </row>
    <row r="680" spans="1:10" s="58" customFormat="1" ht="45" x14ac:dyDescent="0.25">
      <c r="A680" s="53">
        <v>1</v>
      </c>
      <c r="B680" s="109" t="s">
        <v>250</v>
      </c>
      <c r="C680" s="53">
        <v>1</v>
      </c>
      <c r="D680" s="15" t="s">
        <v>196</v>
      </c>
      <c r="E680" s="62"/>
      <c r="F680" s="55">
        <v>3700</v>
      </c>
      <c r="G680" s="57"/>
      <c r="H680" s="57"/>
      <c r="I680" s="57"/>
      <c r="J680" s="430"/>
    </row>
    <row r="681" spans="1:10" s="58" customFormat="1" ht="45" x14ac:dyDescent="0.25">
      <c r="A681" s="53">
        <v>1</v>
      </c>
      <c r="B681" s="109" t="s">
        <v>250</v>
      </c>
      <c r="C681" s="53">
        <v>1</v>
      </c>
      <c r="D681" s="15" t="s">
        <v>197</v>
      </c>
      <c r="E681" s="62"/>
      <c r="F681" s="433">
        <v>462</v>
      </c>
      <c r="G681" s="57"/>
      <c r="H681" s="57"/>
      <c r="I681" s="57"/>
      <c r="J681" s="430"/>
    </row>
    <row r="682" spans="1:10" s="58" customFormat="1" x14ac:dyDescent="0.25">
      <c r="A682" s="53"/>
      <c r="B682" s="109"/>
      <c r="C682" s="53">
        <v>1</v>
      </c>
      <c r="D682" s="12" t="s">
        <v>96</v>
      </c>
      <c r="E682" s="62"/>
      <c r="F682" s="433"/>
      <c r="G682" s="78"/>
      <c r="H682" s="78"/>
      <c r="I682" s="78"/>
      <c r="J682" s="430"/>
    </row>
    <row r="683" spans="1:10" x14ac:dyDescent="0.25">
      <c r="A683" s="53">
        <v>1</v>
      </c>
      <c r="B683" s="109" t="s">
        <v>250</v>
      </c>
      <c r="C683" s="53">
        <v>1</v>
      </c>
      <c r="D683" s="14" t="s">
        <v>296</v>
      </c>
      <c r="E683" s="13"/>
      <c r="F683" s="398">
        <f>F684+F685+F689+F690+F691+F692</f>
        <v>1631</v>
      </c>
      <c r="G683" s="2"/>
      <c r="H683" s="2"/>
      <c r="I683" s="2"/>
    </row>
    <row r="684" spans="1:10" x14ac:dyDescent="0.25">
      <c r="A684" s="53">
        <v>1</v>
      </c>
      <c r="B684" s="109" t="s">
        <v>250</v>
      </c>
      <c r="C684" s="53">
        <v>1</v>
      </c>
      <c r="D684" s="15" t="s">
        <v>297</v>
      </c>
      <c r="E684" s="41"/>
      <c r="F684" s="55"/>
      <c r="G684" s="2"/>
      <c r="H684" s="2"/>
      <c r="I684" s="2"/>
    </row>
    <row r="685" spans="1:10" ht="30" x14ac:dyDescent="0.25">
      <c r="A685" s="53">
        <v>1</v>
      </c>
      <c r="B685" s="109" t="s">
        <v>250</v>
      </c>
      <c r="C685" s="53">
        <v>1</v>
      </c>
      <c r="D685" s="16" t="s">
        <v>298</v>
      </c>
      <c r="E685" s="41"/>
      <c r="F685" s="433">
        <f>F686+F687/4+F688</f>
        <v>53</v>
      </c>
      <c r="G685" s="2"/>
      <c r="H685" s="2"/>
      <c r="I685" s="2"/>
    </row>
    <row r="686" spans="1:10" s="124" customFormat="1" x14ac:dyDescent="0.25">
      <c r="A686" s="104"/>
      <c r="B686" s="109" t="s">
        <v>250</v>
      </c>
      <c r="C686" s="53">
        <v>1</v>
      </c>
      <c r="D686" s="15" t="s">
        <v>299</v>
      </c>
      <c r="E686" s="13"/>
      <c r="F686" s="17"/>
      <c r="G686" s="10"/>
      <c r="H686" s="10"/>
      <c r="I686" s="10"/>
      <c r="J686" s="52"/>
    </row>
    <row r="687" spans="1:10" s="58" customFormat="1" ht="30" x14ac:dyDescent="0.25">
      <c r="A687" s="53">
        <v>1</v>
      </c>
      <c r="B687" s="109" t="s">
        <v>250</v>
      </c>
      <c r="C687" s="53">
        <v>1</v>
      </c>
      <c r="D687" s="15" t="s">
        <v>300</v>
      </c>
      <c r="E687" s="281"/>
      <c r="F687" s="55">
        <v>212</v>
      </c>
      <c r="G687" s="65"/>
      <c r="H687" s="57"/>
      <c r="I687" s="57"/>
      <c r="J687" s="52"/>
    </row>
    <row r="688" spans="1:10" s="58" customFormat="1" ht="45" x14ac:dyDescent="0.25">
      <c r="A688" s="53">
        <v>1</v>
      </c>
      <c r="B688" s="109" t="s">
        <v>250</v>
      </c>
      <c r="C688" s="53">
        <v>1</v>
      </c>
      <c r="D688" s="15" t="s">
        <v>301</v>
      </c>
      <c r="E688" s="64"/>
      <c r="F688" s="432"/>
      <c r="G688" s="65"/>
      <c r="H688" s="65"/>
      <c r="I688" s="43"/>
      <c r="J688" s="52"/>
    </row>
    <row r="689" spans="1:10" s="58" customFormat="1" ht="45" x14ac:dyDescent="0.25">
      <c r="A689" s="53">
        <v>1</v>
      </c>
      <c r="B689" s="109" t="s">
        <v>250</v>
      </c>
      <c r="C689" s="53">
        <v>1</v>
      </c>
      <c r="D689" s="15" t="s">
        <v>309</v>
      </c>
      <c r="E689" s="13"/>
      <c r="F689" s="55"/>
      <c r="G689" s="65"/>
      <c r="H689" s="65"/>
      <c r="I689" s="43"/>
      <c r="J689" s="52"/>
    </row>
    <row r="690" spans="1:10" s="58" customFormat="1" ht="45" x14ac:dyDescent="0.25">
      <c r="A690" s="53">
        <v>1</v>
      </c>
      <c r="B690" s="109" t="s">
        <v>250</v>
      </c>
      <c r="C690" s="53">
        <v>1</v>
      </c>
      <c r="D690" s="18" t="s">
        <v>310</v>
      </c>
      <c r="E690" s="13"/>
      <c r="F690" s="55"/>
      <c r="G690" s="65"/>
      <c r="H690" s="65"/>
      <c r="I690" s="43"/>
      <c r="J690" s="52"/>
    </row>
    <row r="691" spans="1:10" s="58" customFormat="1" ht="75" x14ac:dyDescent="0.25">
      <c r="A691" s="53"/>
      <c r="B691" s="109"/>
      <c r="C691" s="53">
        <v>1</v>
      </c>
      <c r="D691" s="18" t="s">
        <v>354</v>
      </c>
      <c r="E691" s="13"/>
      <c r="F691" s="55">
        <v>50</v>
      </c>
      <c r="G691" s="65"/>
      <c r="H691" s="65"/>
      <c r="I691" s="43"/>
      <c r="J691" s="52"/>
    </row>
    <row r="692" spans="1:10" s="58" customFormat="1" ht="28.5" x14ac:dyDescent="0.25">
      <c r="A692" s="53"/>
      <c r="B692" s="109"/>
      <c r="C692" s="53">
        <v>1</v>
      </c>
      <c r="D692" s="66" t="s">
        <v>344</v>
      </c>
      <c r="E692" s="13"/>
      <c r="F692" s="55">
        <f>F693</f>
        <v>1528</v>
      </c>
      <c r="G692" s="59"/>
      <c r="H692" s="59"/>
      <c r="I692" s="81"/>
      <c r="J692" s="52"/>
    </row>
    <row r="693" spans="1:10" s="58" customFormat="1" x14ac:dyDescent="0.25">
      <c r="A693" s="53"/>
      <c r="B693" s="109"/>
      <c r="C693" s="53">
        <v>1</v>
      </c>
      <c r="D693" s="18" t="s">
        <v>345</v>
      </c>
      <c r="E693" s="13"/>
      <c r="F693" s="55">
        <v>1528</v>
      </c>
      <c r="G693" s="59"/>
      <c r="H693" s="59"/>
      <c r="I693" s="81"/>
      <c r="J693" s="52"/>
    </row>
    <row r="694" spans="1:10" s="58" customFormat="1" ht="28.5" x14ac:dyDescent="0.25">
      <c r="A694" s="53"/>
      <c r="B694" s="109"/>
      <c r="C694" s="53">
        <v>1</v>
      </c>
      <c r="D694" s="66" t="s">
        <v>346</v>
      </c>
      <c r="E694" s="13"/>
      <c r="F694" s="55"/>
      <c r="G694" s="59"/>
      <c r="H694" s="59"/>
      <c r="I694" s="81"/>
      <c r="J694" s="52"/>
    </row>
    <row r="695" spans="1:10" s="58" customFormat="1" x14ac:dyDescent="0.25">
      <c r="A695" s="53">
        <v>1</v>
      </c>
      <c r="B695" s="109" t="s">
        <v>250</v>
      </c>
      <c r="C695" s="53">
        <v>1</v>
      </c>
      <c r="D695" s="14" t="s">
        <v>303</v>
      </c>
      <c r="E695" s="13"/>
      <c r="F695" s="63">
        <f>F696+F697</f>
        <v>4445.5319148936169</v>
      </c>
      <c r="G695" s="65"/>
      <c r="H695" s="65"/>
      <c r="I695" s="43"/>
      <c r="J695" s="52"/>
    </row>
    <row r="696" spans="1:10" s="58" customFormat="1" x14ac:dyDescent="0.25">
      <c r="A696" s="53">
        <v>1</v>
      </c>
      <c r="B696" s="109" t="s">
        <v>250</v>
      </c>
      <c r="C696" s="53">
        <v>1</v>
      </c>
      <c r="D696" s="14" t="s">
        <v>304</v>
      </c>
      <c r="E696" s="13"/>
      <c r="F696" s="63"/>
      <c r="G696" s="65"/>
      <c r="H696" s="65"/>
      <c r="I696" s="43"/>
      <c r="J696" s="52"/>
    </row>
    <row r="697" spans="1:10" s="58" customFormat="1" x14ac:dyDescent="0.25">
      <c r="A697" s="53">
        <v>1</v>
      </c>
      <c r="B697" s="109" t="s">
        <v>250</v>
      </c>
      <c r="C697" s="53">
        <v>1</v>
      </c>
      <c r="D697" s="15" t="s">
        <v>305</v>
      </c>
      <c r="E697" s="13"/>
      <c r="F697" s="63">
        <f>F698/9.4</f>
        <v>4445.5319148936169</v>
      </c>
      <c r="G697" s="65"/>
      <c r="H697" s="65"/>
      <c r="I697" s="43"/>
      <c r="J697" s="52"/>
    </row>
    <row r="698" spans="1:10" s="58" customFormat="1" x14ac:dyDescent="0.25">
      <c r="A698" s="53">
        <v>1</v>
      </c>
      <c r="B698" s="109" t="s">
        <v>250</v>
      </c>
      <c r="C698" s="53">
        <v>1</v>
      </c>
      <c r="D698" s="42" t="s">
        <v>314</v>
      </c>
      <c r="E698" s="13"/>
      <c r="F698" s="63">
        <v>41788</v>
      </c>
      <c r="G698" s="65"/>
      <c r="H698" s="65"/>
      <c r="I698" s="43"/>
      <c r="J698" s="52"/>
    </row>
    <row r="699" spans="1:10" s="58" customFormat="1" ht="29.25" x14ac:dyDescent="0.25">
      <c r="A699" s="53">
        <v>1</v>
      </c>
      <c r="B699" s="109" t="s">
        <v>250</v>
      </c>
      <c r="C699" s="53">
        <v>1</v>
      </c>
      <c r="D699" s="14" t="s">
        <v>306</v>
      </c>
      <c r="E699" s="13"/>
      <c r="F699" s="432">
        <v>11976</v>
      </c>
      <c r="G699" s="65"/>
      <c r="H699" s="65"/>
      <c r="I699" s="43"/>
      <c r="J699" s="52"/>
    </row>
    <row r="700" spans="1:10" s="58" customFormat="1" x14ac:dyDescent="0.25">
      <c r="A700" s="53">
        <v>1</v>
      </c>
      <c r="B700" s="109" t="s">
        <v>250</v>
      </c>
      <c r="C700" s="53">
        <v>1</v>
      </c>
      <c r="D700" s="19" t="s">
        <v>115</v>
      </c>
      <c r="E700" s="13"/>
      <c r="F700" s="75"/>
      <c r="G700" s="65"/>
      <c r="H700" s="65"/>
      <c r="I700" s="43"/>
      <c r="J700" s="52"/>
    </row>
    <row r="701" spans="1:10" s="58" customFormat="1" ht="42.75" customHeight="1" x14ac:dyDescent="0.25">
      <c r="A701" s="53">
        <v>1</v>
      </c>
      <c r="B701" s="109" t="s">
        <v>250</v>
      </c>
      <c r="C701" s="53">
        <v>1</v>
      </c>
      <c r="D701" s="21" t="s">
        <v>312</v>
      </c>
      <c r="E701" s="13"/>
      <c r="F701" s="55"/>
      <c r="G701" s="65"/>
      <c r="H701" s="65"/>
      <c r="I701" s="43"/>
      <c r="J701" s="52"/>
    </row>
    <row r="702" spans="1:10" s="58" customFormat="1" x14ac:dyDescent="0.25">
      <c r="A702" s="53">
        <v>1</v>
      </c>
      <c r="B702" s="109" t="s">
        <v>250</v>
      </c>
      <c r="C702" s="53">
        <v>1</v>
      </c>
      <c r="D702" s="20" t="s">
        <v>158</v>
      </c>
      <c r="E702" s="13"/>
      <c r="F702" s="43">
        <f>SUM(F703:F704)</f>
        <v>1300</v>
      </c>
      <c r="G702" s="65"/>
      <c r="H702" s="65"/>
      <c r="I702" s="43"/>
      <c r="J702" s="52"/>
    </row>
    <row r="703" spans="1:10" s="58" customFormat="1" ht="30" x14ac:dyDescent="0.25">
      <c r="A703" s="53"/>
      <c r="B703" s="109" t="s">
        <v>250</v>
      </c>
      <c r="C703" s="53">
        <v>1</v>
      </c>
      <c r="D703" s="126" t="s">
        <v>202</v>
      </c>
      <c r="E703" s="13"/>
      <c r="F703" s="2">
        <v>676</v>
      </c>
      <c r="G703" s="65"/>
      <c r="H703" s="65"/>
      <c r="I703" s="43"/>
      <c r="J703" s="52"/>
    </row>
    <row r="704" spans="1:10" s="58" customFormat="1" ht="30" x14ac:dyDescent="0.25">
      <c r="A704" s="53">
        <v>1</v>
      </c>
      <c r="B704" s="109" t="s">
        <v>250</v>
      </c>
      <c r="C704" s="53">
        <v>1</v>
      </c>
      <c r="D704" s="126" t="s">
        <v>203</v>
      </c>
      <c r="E704" s="13"/>
      <c r="F704" s="39">
        <v>624</v>
      </c>
      <c r="G704" s="65"/>
      <c r="H704" s="65"/>
      <c r="I704" s="43"/>
      <c r="J704" s="52"/>
    </row>
    <row r="705" spans="1:10" s="58" customFormat="1" x14ac:dyDescent="0.25">
      <c r="A705" s="53">
        <v>1</v>
      </c>
      <c r="B705" s="109" t="s">
        <v>250</v>
      </c>
      <c r="C705" s="53">
        <v>1</v>
      </c>
      <c r="D705" s="21" t="s">
        <v>198</v>
      </c>
      <c r="E705" s="13"/>
      <c r="F705" s="83">
        <f>F662+F683</f>
        <v>24676</v>
      </c>
      <c r="G705" s="65"/>
      <c r="H705" s="65"/>
      <c r="I705" s="43"/>
      <c r="J705" s="430"/>
    </row>
    <row r="706" spans="1:10" s="58" customFormat="1" ht="29.25" x14ac:dyDescent="0.25">
      <c r="A706" s="53">
        <v>1</v>
      </c>
      <c r="B706" s="109" t="s">
        <v>250</v>
      </c>
      <c r="C706" s="53">
        <v>1</v>
      </c>
      <c r="D706" s="21" t="s">
        <v>199</v>
      </c>
      <c r="E706" s="13"/>
      <c r="F706" s="83">
        <f>F672</f>
        <v>11255</v>
      </c>
      <c r="G706" s="65"/>
      <c r="H706" s="65"/>
      <c r="I706" s="43"/>
      <c r="J706" s="430"/>
    </row>
    <row r="707" spans="1:10" s="58" customFormat="1" x14ac:dyDescent="0.25">
      <c r="A707" s="53">
        <v>1</v>
      </c>
      <c r="B707" s="109" t="s">
        <v>250</v>
      </c>
      <c r="C707" s="53">
        <v>1</v>
      </c>
      <c r="D707" s="21" t="s">
        <v>200</v>
      </c>
      <c r="E707" s="13"/>
      <c r="F707" s="83">
        <f>F695+F670</f>
        <v>41617.531914893618</v>
      </c>
      <c r="G707" s="65"/>
      <c r="H707" s="65"/>
      <c r="I707" s="43"/>
      <c r="J707" s="430"/>
    </row>
    <row r="708" spans="1:10" s="58" customFormat="1" ht="29.25" x14ac:dyDescent="0.25">
      <c r="A708" s="53">
        <v>1</v>
      </c>
      <c r="B708" s="109" t="s">
        <v>250</v>
      </c>
      <c r="C708" s="53">
        <v>1</v>
      </c>
      <c r="D708" s="21" t="s">
        <v>201</v>
      </c>
      <c r="E708" s="13"/>
      <c r="F708" s="29">
        <f>F699+F701</f>
        <v>11976</v>
      </c>
      <c r="G708" s="65"/>
      <c r="H708" s="65"/>
      <c r="I708" s="43"/>
      <c r="J708" s="430"/>
    </row>
    <row r="709" spans="1:10" s="58" customFormat="1" x14ac:dyDescent="0.25">
      <c r="A709" s="53">
        <v>1</v>
      </c>
      <c r="B709" s="109" t="s">
        <v>250</v>
      </c>
      <c r="C709" s="53">
        <v>1</v>
      </c>
      <c r="D709" s="22" t="s">
        <v>109</v>
      </c>
      <c r="E709" s="13"/>
      <c r="F709" s="29">
        <f>F708+F705+F706+F671*2.9+F698/4.2</f>
        <v>165655.3238095238</v>
      </c>
      <c r="G709" s="65"/>
      <c r="H709" s="65"/>
      <c r="I709" s="43"/>
      <c r="J709" s="430"/>
    </row>
    <row r="710" spans="1:10" x14ac:dyDescent="0.25">
      <c r="A710" s="53">
        <v>1</v>
      </c>
      <c r="B710" s="109" t="s">
        <v>250</v>
      </c>
      <c r="C710" s="53">
        <v>1</v>
      </c>
      <c r="D710" s="44" t="s">
        <v>7</v>
      </c>
      <c r="E710" s="504"/>
      <c r="F710" s="504">
        <f>F705+F706+F708+F671*2.9+F698/4.2</f>
        <v>165655.3238095238</v>
      </c>
      <c r="G710" s="2"/>
      <c r="H710" s="2"/>
      <c r="I710" s="2"/>
    </row>
    <row r="711" spans="1:10" x14ac:dyDescent="0.25">
      <c r="A711" s="53">
        <v>1</v>
      </c>
      <c r="B711" s="109" t="s">
        <v>250</v>
      </c>
      <c r="C711" s="53">
        <v>1</v>
      </c>
      <c r="D711" s="306" t="s">
        <v>71</v>
      </c>
      <c r="E711" s="13"/>
      <c r="F711" s="504"/>
      <c r="G711" s="2"/>
      <c r="H711" s="2"/>
      <c r="I711" s="2"/>
    </row>
    <row r="712" spans="1:10" x14ac:dyDescent="0.25">
      <c r="A712" s="53">
        <v>1</v>
      </c>
      <c r="B712" s="109" t="s">
        <v>250</v>
      </c>
      <c r="C712" s="53">
        <v>1</v>
      </c>
      <c r="D712" s="439" t="s">
        <v>35</v>
      </c>
      <c r="E712" s="54">
        <v>240</v>
      </c>
      <c r="F712" s="2">
        <v>1021</v>
      </c>
      <c r="G712" s="47">
        <v>8</v>
      </c>
      <c r="H712" s="2">
        <f>ROUND(I712/E712,0)</f>
        <v>34</v>
      </c>
      <c r="I712" s="2">
        <f>ROUND(F712*G712,0)</f>
        <v>8168</v>
      </c>
    </row>
    <row r="713" spans="1:10" x14ac:dyDescent="0.25">
      <c r="A713" s="53"/>
      <c r="B713" s="109"/>
      <c r="C713" s="53">
        <v>1</v>
      </c>
      <c r="D713" s="25" t="s">
        <v>329</v>
      </c>
      <c r="E713" s="54">
        <v>240</v>
      </c>
      <c r="F713" s="445">
        <f>15+106</f>
        <v>121</v>
      </c>
      <c r="G713" s="47">
        <v>4</v>
      </c>
      <c r="H713" s="2">
        <f>ROUND(I713/E713,0)</f>
        <v>2</v>
      </c>
      <c r="I713" s="2">
        <f>ROUND(F713*G713,0)</f>
        <v>484</v>
      </c>
    </row>
    <row r="714" spans="1:10" x14ac:dyDescent="0.25">
      <c r="A714" s="53">
        <v>1</v>
      </c>
      <c r="B714" s="109" t="s">
        <v>250</v>
      </c>
      <c r="C714" s="53">
        <v>1</v>
      </c>
      <c r="D714" s="497" t="s">
        <v>92</v>
      </c>
      <c r="E714" s="13"/>
      <c r="F714" s="31">
        <f>SUM(F712:F713)</f>
        <v>1142</v>
      </c>
      <c r="G714" s="476">
        <f>I714/F714</f>
        <v>7.5761821366024522</v>
      </c>
      <c r="H714" s="31">
        <f>SUM(H712:H713)</f>
        <v>36</v>
      </c>
      <c r="I714" s="31">
        <f>SUM(I712:I713)</f>
        <v>8652</v>
      </c>
    </row>
    <row r="715" spans="1:10" x14ac:dyDescent="0.25">
      <c r="A715" s="53">
        <v>1</v>
      </c>
      <c r="B715" s="109" t="s">
        <v>250</v>
      </c>
      <c r="C715" s="53">
        <v>1</v>
      </c>
      <c r="D715" s="500" t="s">
        <v>86</v>
      </c>
      <c r="E715" s="69"/>
      <c r="F715" s="29">
        <f>F714</f>
        <v>1142</v>
      </c>
      <c r="G715" s="82">
        <f>I715/F715</f>
        <v>7.5761821366024522</v>
      </c>
      <c r="H715" s="29">
        <f>H714</f>
        <v>36</v>
      </c>
      <c r="I715" s="29">
        <f>I714</f>
        <v>8652</v>
      </c>
    </row>
    <row r="716" spans="1:10" ht="15.75" thickBot="1" x14ac:dyDescent="0.3">
      <c r="A716" s="53">
        <v>1</v>
      </c>
      <c r="B716" s="109" t="s">
        <v>250</v>
      </c>
      <c r="C716" s="53">
        <v>1</v>
      </c>
      <c r="D716" s="509" t="s">
        <v>220</v>
      </c>
      <c r="E716" s="462"/>
      <c r="F716" s="462"/>
      <c r="G716" s="462"/>
      <c r="H716" s="462"/>
      <c r="I716" s="462"/>
    </row>
    <row r="717" spans="1:10" hidden="1" x14ac:dyDescent="0.25">
      <c r="A717" s="53">
        <v>1</v>
      </c>
      <c r="B717" s="53"/>
      <c r="C717" s="53">
        <v>1</v>
      </c>
      <c r="D717" s="487"/>
      <c r="E717" s="422"/>
      <c r="F717" s="424"/>
      <c r="G717" s="424"/>
      <c r="H717" s="424"/>
      <c r="I717" s="424"/>
    </row>
    <row r="718" spans="1:10" ht="29.25" hidden="1" x14ac:dyDescent="0.25">
      <c r="A718" s="53">
        <v>1</v>
      </c>
      <c r="B718" s="109" t="s">
        <v>251</v>
      </c>
      <c r="C718" s="53">
        <v>1</v>
      </c>
      <c r="D718" s="674" t="s">
        <v>393</v>
      </c>
      <c r="E718" s="68"/>
      <c r="F718" s="2"/>
      <c r="G718" s="2"/>
      <c r="H718" s="2"/>
      <c r="I718" s="445"/>
    </row>
    <row r="719" spans="1:10" s="58" customFormat="1" ht="48" hidden="1" customHeight="1" x14ac:dyDescent="0.25">
      <c r="A719" s="53">
        <v>1</v>
      </c>
      <c r="B719" s="109" t="s">
        <v>251</v>
      </c>
      <c r="C719" s="53">
        <v>1</v>
      </c>
      <c r="D719" s="101" t="s">
        <v>294</v>
      </c>
      <c r="E719" s="12"/>
      <c r="F719" s="84"/>
      <c r="G719" s="57"/>
      <c r="H719" s="57"/>
      <c r="I719" s="57"/>
      <c r="J719" s="430"/>
    </row>
    <row r="720" spans="1:10" s="58" customFormat="1" ht="27.75" hidden="1" customHeight="1" x14ac:dyDescent="0.25">
      <c r="A720" s="53"/>
      <c r="B720" s="109" t="s">
        <v>251</v>
      </c>
      <c r="C720" s="53">
        <v>1</v>
      </c>
      <c r="D720" s="14" t="s">
        <v>187</v>
      </c>
      <c r="E720" s="12"/>
      <c r="F720" s="429">
        <f>F722+F723+F725+F724+F727+F721</f>
        <v>85659</v>
      </c>
      <c r="G720" s="57"/>
      <c r="H720" s="57"/>
      <c r="I720" s="57"/>
      <c r="J720" s="430"/>
    </row>
    <row r="721" spans="1:10" s="58" customFormat="1" hidden="1" x14ac:dyDescent="0.25">
      <c r="A721" s="53"/>
      <c r="B721" s="109" t="s">
        <v>251</v>
      </c>
      <c r="C721" s="53">
        <v>1</v>
      </c>
      <c r="D721" s="18" t="s">
        <v>113</v>
      </c>
      <c r="E721" s="12"/>
      <c r="F721" s="59">
        <v>2000</v>
      </c>
      <c r="G721" s="57"/>
      <c r="H721" s="57"/>
      <c r="I721" s="57"/>
      <c r="J721" s="430"/>
    </row>
    <row r="722" spans="1:10" s="58" customFormat="1" ht="30" hidden="1" x14ac:dyDescent="0.25">
      <c r="A722" s="53"/>
      <c r="B722" s="109" t="s">
        <v>251</v>
      </c>
      <c r="C722" s="53">
        <v>1</v>
      </c>
      <c r="D722" s="18" t="s">
        <v>114</v>
      </c>
      <c r="E722" s="12"/>
      <c r="F722" s="59">
        <v>10000</v>
      </c>
      <c r="G722" s="57"/>
      <c r="H722" s="57"/>
      <c r="I722" s="57"/>
      <c r="J722" s="430"/>
    </row>
    <row r="723" spans="1:10" s="58" customFormat="1" ht="30" hidden="1" x14ac:dyDescent="0.25">
      <c r="A723" s="53"/>
      <c r="B723" s="109" t="s">
        <v>251</v>
      </c>
      <c r="C723" s="53">
        <v>1</v>
      </c>
      <c r="D723" s="15" t="s">
        <v>361</v>
      </c>
      <c r="E723" s="12"/>
      <c r="F723" s="59">
        <v>30316</v>
      </c>
      <c r="G723" s="57"/>
      <c r="H723" s="57"/>
      <c r="I723" s="57"/>
      <c r="J723" s="430"/>
    </row>
    <row r="724" spans="1:10" s="58" customFormat="1" ht="45" hidden="1" x14ac:dyDescent="0.25">
      <c r="A724" s="53"/>
      <c r="B724" s="109" t="s">
        <v>251</v>
      </c>
      <c r="C724" s="53">
        <v>1</v>
      </c>
      <c r="D724" s="15" t="s">
        <v>219</v>
      </c>
      <c r="E724" s="12"/>
      <c r="F724" s="59"/>
      <c r="G724" s="57"/>
      <c r="H724" s="57"/>
      <c r="I724" s="57"/>
      <c r="J724" s="430"/>
    </row>
    <row r="725" spans="1:10" s="58" customFormat="1" ht="45" hidden="1" x14ac:dyDescent="0.25">
      <c r="A725" s="53"/>
      <c r="B725" s="109" t="s">
        <v>251</v>
      </c>
      <c r="C725" s="53">
        <v>1</v>
      </c>
      <c r="D725" s="15" t="s">
        <v>188</v>
      </c>
      <c r="E725" s="12"/>
      <c r="F725" s="59">
        <f>20000+15000</f>
        <v>35000</v>
      </c>
      <c r="G725" s="57"/>
      <c r="H725" s="57"/>
      <c r="I725" s="57"/>
      <c r="J725" s="430"/>
    </row>
    <row r="726" spans="1:10" s="58" customFormat="1" ht="75" hidden="1" x14ac:dyDescent="0.25">
      <c r="A726" s="53"/>
      <c r="B726" s="109"/>
      <c r="C726" s="53">
        <v>1</v>
      </c>
      <c r="D726" s="15" t="s">
        <v>353</v>
      </c>
      <c r="E726" s="12"/>
      <c r="F726" s="59">
        <v>15000</v>
      </c>
      <c r="G726" s="57"/>
      <c r="H726" s="57"/>
      <c r="I726" s="57"/>
      <c r="J726" s="430"/>
    </row>
    <row r="727" spans="1:10" s="58" customFormat="1" ht="39.75" hidden="1" customHeight="1" x14ac:dyDescent="0.25">
      <c r="A727" s="53"/>
      <c r="B727" s="109"/>
      <c r="C727" s="53">
        <v>1</v>
      </c>
      <c r="D727" s="15" t="s">
        <v>293</v>
      </c>
      <c r="E727" s="12"/>
      <c r="F727" s="59">
        <v>8343</v>
      </c>
      <c r="G727" s="57"/>
      <c r="H727" s="57"/>
      <c r="I727" s="57"/>
      <c r="J727" s="430"/>
    </row>
    <row r="728" spans="1:10" s="58" customFormat="1" hidden="1" x14ac:dyDescent="0.25">
      <c r="A728" s="53"/>
      <c r="B728" s="109" t="s">
        <v>251</v>
      </c>
      <c r="C728" s="53">
        <v>1</v>
      </c>
      <c r="D728" s="60" t="s">
        <v>88</v>
      </c>
      <c r="E728" s="12"/>
      <c r="F728" s="429">
        <f>F729</f>
        <v>182466</v>
      </c>
      <c r="G728" s="57"/>
      <c r="H728" s="57"/>
      <c r="I728" s="57"/>
      <c r="J728" s="430"/>
    </row>
    <row r="729" spans="1:10" s="58" customFormat="1" hidden="1" x14ac:dyDescent="0.25">
      <c r="A729" s="53"/>
      <c r="B729" s="109" t="s">
        <v>251</v>
      </c>
      <c r="C729" s="53">
        <v>1</v>
      </c>
      <c r="D729" s="19" t="s">
        <v>145</v>
      </c>
      <c r="E729" s="12"/>
      <c r="F729" s="59">
        <v>182466</v>
      </c>
      <c r="G729" s="57"/>
      <c r="H729" s="57"/>
      <c r="I729" s="57"/>
      <c r="J729" s="430"/>
    </row>
    <row r="730" spans="1:10" s="58" customFormat="1" ht="47.25" hidden="1" x14ac:dyDescent="0.25">
      <c r="A730" s="53"/>
      <c r="B730" s="109" t="s">
        <v>251</v>
      </c>
      <c r="C730" s="53">
        <v>1</v>
      </c>
      <c r="D730" s="61" t="s">
        <v>292</v>
      </c>
      <c r="E730" s="12"/>
      <c r="F730" s="429">
        <f>F731+F736</f>
        <v>34194</v>
      </c>
      <c r="G730" s="57"/>
      <c r="H730" s="57"/>
      <c r="I730" s="57"/>
      <c r="J730" s="430"/>
    </row>
    <row r="731" spans="1:10" s="58" customFormat="1" ht="17.25" hidden="1" customHeight="1" x14ac:dyDescent="0.25">
      <c r="A731" s="53">
        <v>1</v>
      </c>
      <c r="B731" s="109" t="s">
        <v>251</v>
      </c>
      <c r="C731" s="53">
        <v>1</v>
      </c>
      <c r="D731" s="16" t="s">
        <v>189</v>
      </c>
      <c r="E731" s="62"/>
      <c r="F731" s="432">
        <f>SUM(F732:F735)</f>
        <v>25282</v>
      </c>
      <c r="G731" s="57"/>
      <c r="H731" s="57"/>
      <c r="I731" s="57"/>
      <c r="J731" s="430"/>
    </row>
    <row r="732" spans="1:10" s="58" customFormat="1" ht="15.75" hidden="1" customHeight="1" x14ac:dyDescent="0.25">
      <c r="A732" s="53">
        <v>1</v>
      </c>
      <c r="B732" s="109" t="s">
        <v>251</v>
      </c>
      <c r="C732" s="53">
        <v>1</v>
      </c>
      <c r="D732" s="15" t="s">
        <v>190</v>
      </c>
      <c r="E732" s="24"/>
      <c r="F732" s="55">
        <v>25282</v>
      </c>
      <c r="G732" s="24"/>
      <c r="H732" s="24"/>
      <c r="I732" s="24"/>
      <c r="J732" s="430"/>
    </row>
    <row r="733" spans="1:10" s="58" customFormat="1" ht="45" hidden="1" x14ac:dyDescent="0.25">
      <c r="A733" s="53">
        <v>1</v>
      </c>
      <c r="B733" s="109" t="s">
        <v>251</v>
      </c>
      <c r="C733" s="53">
        <v>1</v>
      </c>
      <c r="D733" s="15" t="s">
        <v>191</v>
      </c>
      <c r="E733" s="62"/>
      <c r="F733" s="63"/>
      <c r="G733" s="57"/>
      <c r="H733" s="57"/>
      <c r="I733" s="57"/>
      <c r="J733" s="430"/>
    </row>
    <row r="734" spans="1:10" s="58" customFormat="1" ht="30" hidden="1" x14ac:dyDescent="0.25">
      <c r="A734" s="53">
        <v>1</v>
      </c>
      <c r="B734" s="109" t="s">
        <v>251</v>
      </c>
      <c r="C734" s="53">
        <v>1</v>
      </c>
      <c r="D734" s="15" t="s">
        <v>192</v>
      </c>
      <c r="E734" s="62"/>
      <c r="F734" s="55"/>
      <c r="G734" s="57"/>
      <c r="H734" s="57"/>
      <c r="I734" s="57"/>
      <c r="J734" s="430"/>
    </row>
    <row r="735" spans="1:10" s="58" customFormat="1" ht="30" hidden="1" x14ac:dyDescent="0.25">
      <c r="A735" s="53">
        <v>1</v>
      </c>
      <c r="B735" s="109" t="s">
        <v>251</v>
      </c>
      <c r="C735" s="53">
        <v>1</v>
      </c>
      <c r="D735" s="15" t="s">
        <v>193</v>
      </c>
      <c r="E735" s="62"/>
      <c r="F735" s="55"/>
      <c r="G735" s="57"/>
      <c r="H735" s="57"/>
      <c r="I735" s="57"/>
      <c r="J735" s="430"/>
    </row>
    <row r="736" spans="1:10" s="58" customFormat="1" ht="30" hidden="1" x14ac:dyDescent="0.25">
      <c r="A736" s="53">
        <v>1</v>
      </c>
      <c r="B736" s="109" t="s">
        <v>251</v>
      </c>
      <c r="C736" s="53">
        <v>1</v>
      </c>
      <c r="D736" s="16" t="s">
        <v>194</v>
      </c>
      <c r="E736" s="62"/>
      <c r="F736" s="398">
        <f>SUM(F737:F739)</f>
        <v>8912</v>
      </c>
      <c r="G736" s="57"/>
      <c r="H736" s="57"/>
      <c r="I736" s="57"/>
      <c r="J736" s="430"/>
    </row>
    <row r="737" spans="1:10" s="58" customFormat="1" ht="30" hidden="1" x14ac:dyDescent="0.25">
      <c r="A737" s="53">
        <v>1</v>
      </c>
      <c r="B737" s="109" t="s">
        <v>251</v>
      </c>
      <c r="C737" s="53">
        <v>1</v>
      </c>
      <c r="D737" s="15" t="s">
        <v>195</v>
      </c>
      <c r="E737" s="62"/>
      <c r="F737" s="433">
        <v>8912</v>
      </c>
      <c r="G737" s="57"/>
      <c r="H737" s="57"/>
      <c r="I737" s="57"/>
      <c r="J737" s="430"/>
    </row>
    <row r="738" spans="1:10" ht="45" hidden="1" x14ac:dyDescent="0.25">
      <c r="A738" s="53">
        <v>1</v>
      </c>
      <c r="B738" s="109" t="s">
        <v>251</v>
      </c>
      <c r="C738" s="53">
        <v>1</v>
      </c>
      <c r="D738" s="15" t="s">
        <v>196</v>
      </c>
      <c r="E738" s="13"/>
      <c r="F738" s="55"/>
      <c r="G738" s="510"/>
      <c r="H738" s="2"/>
      <c r="I738" s="2"/>
    </row>
    <row r="739" spans="1:10" ht="45" hidden="1" x14ac:dyDescent="0.25">
      <c r="A739" s="53">
        <v>1</v>
      </c>
      <c r="B739" s="109" t="s">
        <v>251</v>
      </c>
      <c r="C739" s="53">
        <v>1</v>
      </c>
      <c r="D739" s="15" t="s">
        <v>197</v>
      </c>
      <c r="E739" s="41"/>
      <c r="F739" s="55"/>
      <c r="G739" s="510"/>
      <c r="H739" s="2"/>
      <c r="I739" s="2"/>
    </row>
    <row r="740" spans="1:10" hidden="1" x14ac:dyDescent="0.25">
      <c r="A740" s="53"/>
      <c r="B740" s="109"/>
      <c r="C740" s="53">
        <v>1</v>
      </c>
      <c r="D740" s="12" t="s">
        <v>96</v>
      </c>
      <c r="E740" s="41"/>
      <c r="F740" s="55"/>
      <c r="G740" s="510"/>
      <c r="H740" s="2"/>
      <c r="I740" s="2"/>
    </row>
    <row r="741" spans="1:10" hidden="1" x14ac:dyDescent="0.25">
      <c r="A741" s="53">
        <v>1</v>
      </c>
      <c r="B741" s="109" t="s">
        <v>251</v>
      </c>
      <c r="C741" s="53">
        <v>1</v>
      </c>
      <c r="D741" s="14" t="s">
        <v>296</v>
      </c>
      <c r="E741" s="41"/>
      <c r="F741" s="496">
        <f>F742+F743+F747+F748+F749+F750</f>
        <v>6706.25</v>
      </c>
      <c r="G741" s="510"/>
      <c r="H741" s="2"/>
      <c r="I741" s="2"/>
    </row>
    <row r="742" spans="1:10" s="58" customFormat="1" hidden="1" x14ac:dyDescent="0.25">
      <c r="A742" s="53">
        <v>1</v>
      </c>
      <c r="B742" s="109" t="s">
        <v>251</v>
      </c>
      <c r="C742" s="53">
        <v>1</v>
      </c>
      <c r="D742" s="15" t="s">
        <v>297</v>
      </c>
      <c r="E742" s="281"/>
      <c r="F742" s="55">
        <v>250</v>
      </c>
      <c r="G742" s="57"/>
      <c r="H742" s="57"/>
      <c r="I742" s="57"/>
      <c r="J742" s="52"/>
    </row>
    <row r="743" spans="1:10" s="58" customFormat="1" ht="30" hidden="1" x14ac:dyDescent="0.25">
      <c r="A743" s="53">
        <v>1</v>
      </c>
      <c r="B743" s="109" t="s">
        <v>251</v>
      </c>
      <c r="C743" s="53">
        <v>1</v>
      </c>
      <c r="D743" s="16" t="s">
        <v>298</v>
      </c>
      <c r="E743" s="64"/>
      <c r="F743" s="63">
        <f>F744+F745/4</f>
        <v>324.25</v>
      </c>
      <c r="G743" s="65"/>
      <c r="H743" s="65"/>
      <c r="I743" s="43"/>
      <c r="J743" s="52"/>
    </row>
    <row r="744" spans="1:10" s="124" customFormat="1" hidden="1" x14ac:dyDescent="0.25">
      <c r="A744" s="104"/>
      <c r="B744" s="109" t="s">
        <v>251</v>
      </c>
      <c r="C744" s="53">
        <v>1</v>
      </c>
      <c r="D744" s="15" t="s">
        <v>299</v>
      </c>
      <c r="E744" s="13"/>
      <c r="F744" s="17"/>
      <c r="G744" s="10"/>
      <c r="H744" s="10"/>
      <c r="I744" s="10"/>
      <c r="J744" s="52"/>
    </row>
    <row r="745" spans="1:10" s="58" customFormat="1" ht="30" hidden="1" x14ac:dyDescent="0.25">
      <c r="A745" s="53">
        <v>1</v>
      </c>
      <c r="B745" s="109" t="s">
        <v>251</v>
      </c>
      <c r="C745" s="53">
        <v>1</v>
      </c>
      <c r="D745" s="15" t="s">
        <v>300</v>
      </c>
      <c r="E745" s="13"/>
      <c r="F745" s="55">
        <v>1297</v>
      </c>
      <c r="G745" s="65"/>
      <c r="H745" s="65"/>
      <c r="I745" s="43"/>
      <c r="J745" s="52"/>
    </row>
    <row r="746" spans="1:10" s="58" customFormat="1" ht="45" hidden="1" x14ac:dyDescent="0.25">
      <c r="A746" s="53">
        <v>1</v>
      </c>
      <c r="B746" s="109" t="s">
        <v>251</v>
      </c>
      <c r="C746" s="53">
        <v>1</v>
      </c>
      <c r="D746" s="15" t="s">
        <v>301</v>
      </c>
      <c r="E746" s="13"/>
      <c r="F746" s="55"/>
      <c r="G746" s="65"/>
      <c r="H746" s="65"/>
      <c r="I746" s="43"/>
      <c r="J746" s="52"/>
    </row>
    <row r="747" spans="1:10" s="58" customFormat="1" ht="45" hidden="1" x14ac:dyDescent="0.25">
      <c r="A747" s="53">
        <v>1</v>
      </c>
      <c r="B747" s="109" t="s">
        <v>251</v>
      </c>
      <c r="C747" s="53">
        <v>1</v>
      </c>
      <c r="D747" s="15" t="s">
        <v>309</v>
      </c>
      <c r="E747" s="13"/>
      <c r="F747" s="63"/>
      <c r="G747" s="65"/>
      <c r="H747" s="65"/>
      <c r="I747" s="43"/>
      <c r="J747" s="52"/>
    </row>
    <row r="748" spans="1:10" s="58" customFormat="1" ht="45" hidden="1" x14ac:dyDescent="0.25">
      <c r="A748" s="53">
        <v>1</v>
      </c>
      <c r="B748" s="109" t="s">
        <v>251</v>
      </c>
      <c r="C748" s="53">
        <v>1</v>
      </c>
      <c r="D748" s="18" t="s">
        <v>310</v>
      </c>
      <c r="E748" s="13"/>
      <c r="F748" s="63"/>
      <c r="G748" s="65"/>
      <c r="H748" s="65"/>
      <c r="I748" s="43"/>
      <c r="J748" s="52"/>
    </row>
    <row r="749" spans="1:10" s="58" customFormat="1" ht="75" hidden="1" x14ac:dyDescent="0.25">
      <c r="A749" s="53"/>
      <c r="B749" s="109"/>
      <c r="C749" s="53">
        <v>1</v>
      </c>
      <c r="D749" s="18" t="s">
        <v>354</v>
      </c>
      <c r="E749" s="13"/>
      <c r="F749" s="55">
        <v>1300</v>
      </c>
      <c r="G749" s="65"/>
      <c r="H749" s="65"/>
      <c r="I749" s="43"/>
      <c r="J749" s="52"/>
    </row>
    <row r="750" spans="1:10" s="58" customFormat="1" ht="28.5" hidden="1" x14ac:dyDescent="0.25">
      <c r="A750" s="53"/>
      <c r="B750" s="109"/>
      <c r="C750" s="53">
        <v>1</v>
      </c>
      <c r="D750" s="66" t="s">
        <v>344</v>
      </c>
      <c r="E750" s="13"/>
      <c r="F750" s="55">
        <f>F751</f>
        <v>4832</v>
      </c>
      <c r="G750" s="59"/>
      <c r="H750" s="59"/>
      <c r="I750" s="81"/>
      <c r="J750" s="52"/>
    </row>
    <row r="751" spans="1:10" s="58" customFormat="1" hidden="1" x14ac:dyDescent="0.25">
      <c r="A751" s="53"/>
      <c r="B751" s="109"/>
      <c r="C751" s="53">
        <v>1</v>
      </c>
      <c r="D751" s="18" t="s">
        <v>345</v>
      </c>
      <c r="E751" s="13"/>
      <c r="F751" s="55">
        <v>4832</v>
      </c>
      <c r="G751" s="59"/>
      <c r="H751" s="59"/>
      <c r="I751" s="81"/>
      <c r="J751" s="52"/>
    </row>
    <row r="752" spans="1:10" s="58" customFormat="1" ht="28.5" hidden="1" x14ac:dyDescent="0.25">
      <c r="A752" s="53"/>
      <c r="B752" s="109"/>
      <c r="C752" s="53">
        <v>1</v>
      </c>
      <c r="D752" s="66" t="s">
        <v>346</v>
      </c>
      <c r="E752" s="13"/>
      <c r="F752" s="55"/>
      <c r="G752" s="59"/>
      <c r="H752" s="59"/>
      <c r="I752" s="81"/>
      <c r="J752" s="52"/>
    </row>
    <row r="753" spans="1:10" s="58" customFormat="1" hidden="1" x14ac:dyDescent="0.25">
      <c r="A753" s="53">
        <v>1</v>
      </c>
      <c r="B753" s="109" t="s">
        <v>251</v>
      </c>
      <c r="C753" s="53">
        <v>1</v>
      </c>
      <c r="D753" s="14" t="s">
        <v>303</v>
      </c>
      <c r="E753" s="13"/>
      <c r="F753" s="63">
        <f>F754+F755</f>
        <v>583.82978723404256</v>
      </c>
      <c r="G753" s="65"/>
      <c r="H753" s="65"/>
      <c r="I753" s="43"/>
      <c r="J753" s="52"/>
    </row>
    <row r="754" spans="1:10" s="58" customFormat="1" hidden="1" x14ac:dyDescent="0.25">
      <c r="A754" s="53">
        <v>1</v>
      </c>
      <c r="B754" s="109" t="s">
        <v>251</v>
      </c>
      <c r="C754" s="53">
        <v>1</v>
      </c>
      <c r="D754" s="14" t="s">
        <v>304</v>
      </c>
      <c r="E754" s="13"/>
      <c r="F754" s="63">
        <v>150</v>
      </c>
      <c r="G754" s="65"/>
      <c r="H754" s="65"/>
      <c r="I754" s="43"/>
      <c r="J754" s="52"/>
    </row>
    <row r="755" spans="1:10" s="58" customFormat="1" hidden="1" x14ac:dyDescent="0.25">
      <c r="A755" s="53">
        <v>1</v>
      </c>
      <c r="B755" s="109" t="s">
        <v>251</v>
      </c>
      <c r="C755" s="53">
        <v>1</v>
      </c>
      <c r="D755" s="15" t="s">
        <v>305</v>
      </c>
      <c r="E755" s="13"/>
      <c r="F755" s="63">
        <f>F756/9.4</f>
        <v>433.82978723404256</v>
      </c>
      <c r="G755" s="65"/>
      <c r="H755" s="65"/>
      <c r="I755" s="43"/>
      <c r="J755" s="52"/>
    </row>
    <row r="756" spans="1:10" s="58" customFormat="1" hidden="1" x14ac:dyDescent="0.25">
      <c r="A756" s="53">
        <v>1</v>
      </c>
      <c r="B756" s="109" t="s">
        <v>251</v>
      </c>
      <c r="C756" s="53">
        <v>1</v>
      </c>
      <c r="D756" s="42" t="s">
        <v>314</v>
      </c>
      <c r="E756" s="13"/>
      <c r="F756" s="75">
        <v>4078</v>
      </c>
      <c r="G756" s="65"/>
      <c r="H756" s="65"/>
      <c r="I756" s="43"/>
      <c r="J756" s="52"/>
    </row>
    <row r="757" spans="1:10" s="58" customFormat="1" ht="29.25" hidden="1" x14ac:dyDescent="0.25">
      <c r="A757" s="53">
        <v>1</v>
      </c>
      <c r="B757" s="109" t="s">
        <v>251</v>
      </c>
      <c r="C757" s="53">
        <v>1</v>
      </c>
      <c r="D757" s="14" t="s">
        <v>306</v>
      </c>
      <c r="E757" s="13"/>
      <c r="F757" s="55">
        <v>49958</v>
      </c>
      <c r="G757" s="65"/>
      <c r="H757" s="65"/>
      <c r="I757" s="43"/>
      <c r="J757" s="52"/>
    </row>
    <row r="758" spans="1:10" s="58" customFormat="1" hidden="1" x14ac:dyDescent="0.25">
      <c r="A758" s="53">
        <v>1</v>
      </c>
      <c r="B758" s="109" t="s">
        <v>251</v>
      </c>
      <c r="C758" s="53">
        <v>1</v>
      </c>
      <c r="D758" s="19" t="s">
        <v>115</v>
      </c>
      <c r="E758" s="13"/>
      <c r="F758" s="55">
        <v>13500</v>
      </c>
      <c r="G758" s="65"/>
      <c r="H758" s="65"/>
      <c r="I758" s="43"/>
      <c r="J758" s="52"/>
    </row>
    <row r="759" spans="1:10" s="58" customFormat="1" ht="44.25" hidden="1" customHeight="1" x14ac:dyDescent="0.25">
      <c r="A759" s="53">
        <v>1</v>
      </c>
      <c r="B759" s="109" t="s">
        <v>251</v>
      </c>
      <c r="C759" s="53">
        <v>1</v>
      </c>
      <c r="D759" s="21" t="s">
        <v>312</v>
      </c>
      <c r="E759" s="13"/>
      <c r="F759" s="501"/>
      <c r="G759" s="65"/>
      <c r="H759" s="65"/>
      <c r="I759" s="43"/>
      <c r="J759" s="52"/>
    </row>
    <row r="760" spans="1:10" s="58" customFormat="1" hidden="1" x14ac:dyDescent="0.25">
      <c r="A760" s="53">
        <v>1</v>
      </c>
      <c r="B760" s="109" t="s">
        <v>251</v>
      </c>
      <c r="C760" s="53">
        <v>1</v>
      </c>
      <c r="D760" s="20" t="s">
        <v>158</v>
      </c>
      <c r="E760" s="13"/>
      <c r="F760" s="501">
        <f>SUM(F761:F765)</f>
        <v>4052</v>
      </c>
      <c r="G760" s="65"/>
      <c r="H760" s="65"/>
      <c r="I760" s="43"/>
      <c r="J760" s="52"/>
    </row>
    <row r="761" spans="1:10" s="58" customFormat="1" ht="18" hidden="1" customHeight="1" x14ac:dyDescent="0.25">
      <c r="A761" s="53"/>
      <c r="B761" s="109" t="s">
        <v>251</v>
      </c>
      <c r="C761" s="53">
        <v>1</v>
      </c>
      <c r="D761" s="208" t="s">
        <v>202</v>
      </c>
      <c r="E761" s="13"/>
      <c r="F761" s="501">
        <v>880</v>
      </c>
      <c r="G761" s="65"/>
      <c r="H761" s="65"/>
      <c r="I761" s="43"/>
      <c r="J761" s="52"/>
    </row>
    <row r="762" spans="1:10" s="58" customFormat="1" ht="30" hidden="1" x14ac:dyDescent="0.25">
      <c r="A762" s="53">
        <v>1</v>
      </c>
      <c r="B762" s="109" t="s">
        <v>251</v>
      </c>
      <c r="C762" s="53">
        <v>1</v>
      </c>
      <c r="D762" s="126" t="s">
        <v>205</v>
      </c>
      <c r="E762" s="13"/>
      <c r="F762" s="501">
        <v>1320</v>
      </c>
      <c r="G762" s="65"/>
      <c r="H762" s="65"/>
      <c r="I762" s="43"/>
      <c r="J762" s="52"/>
    </row>
    <row r="763" spans="1:10" s="58" customFormat="1" ht="45" hidden="1" x14ac:dyDescent="0.25">
      <c r="A763" s="53"/>
      <c r="B763" s="109"/>
      <c r="C763" s="53">
        <v>1</v>
      </c>
      <c r="D763" s="126" t="s">
        <v>355</v>
      </c>
      <c r="E763" s="13"/>
      <c r="F763" s="511">
        <v>170</v>
      </c>
      <c r="G763" s="465"/>
      <c r="H763" s="465"/>
      <c r="I763" s="29"/>
      <c r="J763" s="52"/>
    </row>
    <row r="764" spans="1:10" s="58" customFormat="1" ht="45" hidden="1" x14ac:dyDescent="0.25">
      <c r="A764" s="109"/>
      <c r="B764" s="109"/>
      <c r="C764" s="53">
        <v>1</v>
      </c>
      <c r="D764" s="126" t="s">
        <v>339</v>
      </c>
      <c r="E764" s="13"/>
      <c r="F764" s="55">
        <v>1562</v>
      </c>
      <c r="G764" s="465"/>
      <c r="H764" s="465"/>
      <c r="I764" s="29"/>
      <c r="J764" s="52"/>
    </row>
    <row r="765" spans="1:10" s="58" customFormat="1" hidden="1" x14ac:dyDescent="0.25">
      <c r="A765" s="53"/>
      <c r="B765" s="109" t="s">
        <v>251</v>
      </c>
      <c r="C765" s="53">
        <v>1</v>
      </c>
      <c r="D765" s="126" t="s">
        <v>31</v>
      </c>
      <c r="E765" s="13"/>
      <c r="F765" s="501">
        <v>120</v>
      </c>
      <c r="G765" s="65"/>
      <c r="H765" s="65"/>
      <c r="I765" s="43"/>
      <c r="J765" s="52"/>
    </row>
    <row r="766" spans="1:10" s="58" customFormat="1" hidden="1" x14ac:dyDescent="0.25">
      <c r="A766" s="53">
        <v>1</v>
      </c>
      <c r="B766" s="109" t="s">
        <v>251</v>
      </c>
      <c r="C766" s="53">
        <v>1</v>
      </c>
      <c r="D766" s="21" t="s">
        <v>198</v>
      </c>
      <c r="E766" s="13"/>
      <c r="F766" s="478">
        <f>F741+F720</f>
        <v>92365.25</v>
      </c>
      <c r="G766" s="65"/>
      <c r="H766" s="65"/>
      <c r="I766" s="43"/>
      <c r="J766" s="430"/>
    </row>
    <row r="767" spans="1:10" s="58" customFormat="1" ht="29.25" hidden="1" x14ac:dyDescent="0.25">
      <c r="A767" s="53">
        <v>1</v>
      </c>
      <c r="B767" s="109" t="s">
        <v>251</v>
      </c>
      <c r="C767" s="53">
        <v>1</v>
      </c>
      <c r="D767" s="21" t="s">
        <v>199</v>
      </c>
      <c r="E767" s="13"/>
      <c r="F767" s="398">
        <f>F730</f>
        <v>34194</v>
      </c>
      <c r="G767" s="65"/>
      <c r="H767" s="65"/>
      <c r="I767" s="43"/>
      <c r="J767" s="430"/>
    </row>
    <row r="768" spans="1:10" s="58" customFormat="1" hidden="1" x14ac:dyDescent="0.25">
      <c r="A768" s="53">
        <v>1</v>
      </c>
      <c r="B768" s="109" t="s">
        <v>251</v>
      </c>
      <c r="C768" s="53">
        <v>1</v>
      </c>
      <c r="D768" s="21" t="s">
        <v>200</v>
      </c>
      <c r="E768" s="13"/>
      <c r="F768" s="398">
        <f>F753+F728</f>
        <v>183049.82978723405</v>
      </c>
      <c r="G768" s="65"/>
      <c r="H768" s="65"/>
      <c r="I768" s="43"/>
      <c r="J768" s="430"/>
    </row>
    <row r="769" spans="1:10" s="58" customFormat="1" ht="29.25" hidden="1" x14ac:dyDescent="0.25">
      <c r="A769" s="53">
        <v>1</v>
      </c>
      <c r="B769" s="109" t="s">
        <v>251</v>
      </c>
      <c r="C769" s="53">
        <v>1</v>
      </c>
      <c r="D769" s="21" t="s">
        <v>201</v>
      </c>
      <c r="E769" s="13"/>
      <c r="F769" s="398">
        <f>F757+F759</f>
        <v>49958</v>
      </c>
      <c r="G769" s="65"/>
      <c r="H769" s="65"/>
      <c r="I769" s="43"/>
      <c r="J769" s="430"/>
    </row>
    <row r="770" spans="1:10" s="58" customFormat="1" hidden="1" x14ac:dyDescent="0.25">
      <c r="A770" s="53">
        <v>1</v>
      </c>
      <c r="B770" s="109" t="s">
        <v>251</v>
      </c>
      <c r="C770" s="53">
        <v>1</v>
      </c>
      <c r="D770" s="22" t="s">
        <v>109</v>
      </c>
      <c r="E770" s="62"/>
      <c r="F770" s="432">
        <f>F766+F767+F769+F729*2.9+F756/4.2+F754*2.9</f>
        <v>707074.60238095245</v>
      </c>
      <c r="G770" s="65"/>
      <c r="H770" s="65"/>
      <c r="I770" s="43"/>
      <c r="J770" s="430"/>
    </row>
    <row r="771" spans="1:10" hidden="1" x14ac:dyDescent="0.25">
      <c r="A771" s="53">
        <v>1</v>
      </c>
      <c r="B771" s="109" t="s">
        <v>251</v>
      </c>
      <c r="C771" s="53">
        <v>1</v>
      </c>
      <c r="D771" s="44" t="s">
        <v>7</v>
      </c>
      <c r="E771" s="13"/>
      <c r="F771" s="55"/>
      <c r="G771" s="2"/>
      <c r="H771" s="2"/>
      <c r="I771" s="2"/>
    </row>
    <row r="772" spans="1:10" hidden="1" x14ac:dyDescent="0.25">
      <c r="A772" s="53">
        <v>1</v>
      </c>
      <c r="B772" s="109" t="s">
        <v>251</v>
      </c>
      <c r="C772" s="53">
        <v>1</v>
      </c>
      <c r="D772" s="306" t="s">
        <v>71</v>
      </c>
      <c r="E772" s="13"/>
      <c r="F772" s="55"/>
      <c r="G772" s="2"/>
      <c r="H772" s="2"/>
      <c r="I772" s="2"/>
    </row>
    <row r="773" spans="1:10" hidden="1" x14ac:dyDescent="0.25">
      <c r="A773" s="53">
        <v>1</v>
      </c>
      <c r="B773" s="109" t="s">
        <v>251</v>
      </c>
      <c r="C773" s="53">
        <v>1</v>
      </c>
      <c r="D773" s="512" t="s">
        <v>22</v>
      </c>
      <c r="E773" s="17">
        <v>240</v>
      </c>
      <c r="F773" s="2">
        <v>618</v>
      </c>
      <c r="G773" s="47">
        <v>8</v>
      </c>
      <c r="H773" s="2">
        <f>ROUND(I773/E773,0)</f>
        <v>21</v>
      </c>
      <c r="I773" s="2">
        <f>ROUND(F773*G773,0)</f>
        <v>4944</v>
      </c>
    </row>
    <row r="774" spans="1:10" hidden="1" x14ac:dyDescent="0.25">
      <c r="A774" s="53">
        <v>1</v>
      </c>
      <c r="B774" s="109" t="s">
        <v>251</v>
      </c>
      <c r="C774" s="53">
        <v>1</v>
      </c>
      <c r="D774" s="439" t="s">
        <v>55</v>
      </c>
      <c r="E774" s="54">
        <v>240</v>
      </c>
      <c r="F774" s="2">
        <f>170+470</f>
        <v>640</v>
      </c>
      <c r="G774" s="47">
        <v>8</v>
      </c>
      <c r="H774" s="2">
        <f>ROUND(I774/E774,0)</f>
        <v>21</v>
      </c>
      <c r="I774" s="2">
        <f>ROUND(F774*G774,0)</f>
        <v>5120</v>
      </c>
    </row>
    <row r="775" spans="1:10" hidden="1" x14ac:dyDescent="0.25">
      <c r="A775" s="53">
        <v>1</v>
      </c>
      <c r="B775" s="109" t="s">
        <v>251</v>
      </c>
      <c r="C775" s="53">
        <v>1</v>
      </c>
      <c r="D775" s="439" t="s">
        <v>35</v>
      </c>
      <c r="E775" s="54">
        <v>240</v>
      </c>
      <c r="F775" s="2">
        <v>2580</v>
      </c>
      <c r="G775" s="47">
        <v>8</v>
      </c>
      <c r="H775" s="2">
        <f>ROUND(I775/E775,0)</f>
        <v>86</v>
      </c>
      <c r="I775" s="2">
        <f>ROUND(F775*G775,0)</f>
        <v>20640</v>
      </c>
    </row>
    <row r="776" spans="1:10" hidden="1" x14ac:dyDescent="0.25">
      <c r="A776" s="53"/>
      <c r="B776" s="109"/>
      <c r="C776" s="53">
        <v>1</v>
      </c>
      <c r="D776" s="439" t="s">
        <v>77</v>
      </c>
      <c r="E776" s="54">
        <v>240</v>
      </c>
      <c r="F776" s="55">
        <v>1841</v>
      </c>
      <c r="G776" s="47">
        <v>1</v>
      </c>
      <c r="H776" s="2">
        <f>ROUND(I776/E776,0)</f>
        <v>8</v>
      </c>
      <c r="I776" s="2">
        <f>ROUND(F776*G776,0)</f>
        <v>1841</v>
      </c>
    </row>
    <row r="777" spans="1:10" hidden="1" x14ac:dyDescent="0.25">
      <c r="A777" s="53">
        <v>1</v>
      </c>
      <c r="B777" s="109" t="s">
        <v>251</v>
      </c>
      <c r="C777" s="53">
        <v>1</v>
      </c>
      <c r="D777" s="497" t="s">
        <v>92</v>
      </c>
      <c r="E777" s="13"/>
      <c r="F777" s="459">
        <f>SUM(F773:F776)</f>
        <v>5679</v>
      </c>
      <c r="G777" s="476">
        <f>I777/F777</f>
        <v>5.7307624581792567</v>
      </c>
      <c r="H777" s="31">
        <f>SUM(H773:H776)</f>
        <v>136</v>
      </c>
      <c r="I777" s="31">
        <f>SUM(I773:I776)</f>
        <v>32545</v>
      </c>
    </row>
    <row r="778" spans="1:10" hidden="1" x14ac:dyDescent="0.25">
      <c r="A778" s="53">
        <v>1</v>
      </c>
      <c r="B778" s="109" t="s">
        <v>251</v>
      </c>
      <c r="C778" s="53">
        <v>1</v>
      </c>
      <c r="D778" s="500" t="s">
        <v>86</v>
      </c>
      <c r="E778" s="69"/>
      <c r="F778" s="446">
        <f>F777</f>
        <v>5679</v>
      </c>
      <c r="G778" s="82">
        <f>I778/F778</f>
        <v>5.7307624581792567</v>
      </c>
      <c r="H778" s="302">
        <f>H777</f>
        <v>136</v>
      </c>
      <c r="I778" s="302">
        <f>I777</f>
        <v>32545</v>
      </c>
    </row>
    <row r="779" spans="1:10" ht="15.75" hidden="1" thickBot="1" x14ac:dyDescent="0.3">
      <c r="A779" s="53">
        <v>1</v>
      </c>
      <c r="B779" s="109" t="s">
        <v>251</v>
      </c>
      <c r="C779" s="53">
        <v>1</v>
      </c>
      <c r="D779" s="448" t="s">
        <v>220</v>
      </c>
      <c r="E779" s="418"/>
      <c r="F779" s="494"/>
      <c r="G779" s="418"/>
      <c r="H779" s="418"/>
      <c r="I779" s="418"/>
    </row>
    <row r="780" spans="1:10" ht="29.25" hidden="1" x14ac:dyDescent="0.25">
      <c r="A780" s="53">
        <v>1</v>
      </c>
      <c r="B780" s="109" t="s">
        <v>252</v>
      </c>
      <c r="C780" s="53">
        <v>1</v>
      </c>
      <c r="D780" s="674" t="s">
        <v>394</v>
      </c>
      <c r="E780" s="508"/>
      <c r="F780" s="55"/>
      <c r="G780" s="2"/>
      <c r="H780" s="2"/>
      <c r="I780" s="2"/>
    </row>
    <row r="781" spans="1:10" s="58" customFormat="1" ht="43.5" hidden="1" customHeight="1" x14ac:dyDescent="0.25">
      <c r="A781" s="53">
        <v>1</v>
      </c>
      <c r="B781" s="109" t="s">
        <v>252</v>
      </c>
      <c r="C781" s="53">
        <v>1</v>
      </c>
      <c r="D781" s="101" t="s">
        <v>294</v>
      </c>
      <c r="E781" s="12"/>
      <c r="F781" s="429"/>
      <c r="G781" s="57"/>
      <c r="H781" s="57"/>
      <c r="I781" s="57"/>
      <c r="J781" s="430"/>
    </row>
    <row r="782" spans="1:10" s="58" customFormat="1" hidden="1" x14ac:dyDescent="0.25">
      <c r="A782" s="53">
        <v>1</v>
      </c>
      <c r="B782" s="109" t="s">
        <v>252</v>
      </c>
      <c r="C782" s="53">
        <v>1</v>
      </c>
      <c r="D782" s="14" t="s">
        <v>187</v>
      </c>
      <c r="E782" s="62"/>
      <c r="F782" s="432">
        <f>F784+F785+F787+F789</f>
        <v>32304</v>
      </c>
      <c r="G782" s="57"/>
      <c r="H782" s="57"/>
      <c r="I782" s="57"/>
      <c r="J782" s="430"/>
    </row>
    <row r="783" spans="1:10" s="58" customFormat="1" hidden="1" x14ac:dyDescent="0.25">
      <c r="A783" s="53"/>
      <c r="B783" s="109" t="s">
        <v>252</v>
      </c>
      <c r="C783" s="53">
        <v>1</v>
      </c>
      <c r="D783" s="18" t="s">
        <v>113</v>
      </c>
      <c r="E783" s="62"/>
      <c r="F783" s="75"/>
      <c r="G783" s="57"/>
      <c r="H783" s="57"/>
      <c r="I783" s="57"/>
      <c r="J783" s="430"/>
    </row>
    <row r="784" spans="1:10" s="58" customFormat="1" ht="30" hidden="1" x14ac:dyDescent="0.25">
      <c r="A784" s="53"/>
      <c r="B784" s="109" t="s">
        <v>252</v>
      </c>
      <c r="C784" s="53">
        <v>1</v>
      </c>
      <c r="D784" s="18" t="s">
        <v>114</v>
      </c>
      <c r="E784" s="62"/>
      <c r="F784" s="75">
        <v>2400</v>
      </c>
      <c r="G784" s="57"/>
      <c r="H784" s="57"/>
      <c r="I784" s="57"/>
      <c r="J784" s="430"/>
    </row>
    <row r="785" spans="1:10" s="58" customFormat="1" ht="30" hidden="1" x14ac:dyDescent="0.25">
      <c r="A785" s="53"/>
      <c r="B785" s="109" t="s">
        <v>252</v>
      </c>
      <c r="C785" s="53">
        <v>1</v>
      </c>
      <c r="D785" s="15" t="s">
        <v>361</v>
      </c>
      <c r="E785" s="62"/>
      <c r="F785" s="75">
        <v>9000</v>
      </c>
      <c r="G785" s="57"/>
      <c r="H785" s="57"/>
      <c r="I785" s="57"/>
      <c r="J785" s="430"/>
    </row>
    <row r="786" spans="1:10" s="58" customFormat="1" ht="45" hidden="1" x14ac:dyDescent="0.25">
      <c r="A786" s="53"/>
      <c r="B786" s="109" t="s">
        <v>252</v>
      </c>
      <c r="C786" s="53">
        <v>1</v>
      </c>
      <c r="D786" s="15" t="s">
        <v>219</v>
      </c>
      <c r="E786" s="62"/>
      <c r="F786" s="75"/>
      <c r="G786" s="57"/>
      <c r="H786" s="57"/>
      <c r="I786" s="57"/>
      <c r="J786" s="430"/>
    </row>
    <row r="787" spans="1:10" s="58" customFormat="1" ht="45" hidden="1" x14ac:dyDescent="0.25">
      <c r="A787" s="53"/>
      <c r="B787" s="109" t="s">
        <v>252</v>
      </c>
      <c r="C787" s="53">
        <v>1</v>
      </c>
      <c r="D787" s="15" t="s">
        <v>188</v>
      </c>
      <c r="E787" s="62"/>
      <c r="F787" s="75">
        <v>18980</v>
      </c>
      <c r="G787" s="57"/>
      <c r="H787" s="57"/>
      <c r="I787" s="57"/>
      <c r="J787" s="430"/>
    </row>
    <row r="788" spans="1:10" s="58" customFormat="1" ht="75" hidden="1" x14ac:dyDescent="0.25">
      <c r="A788" s="53"/>
      <c r="B788" s="109"/>
      <c r="C788" s="53">
        <v>1</v>
      </c>
      <c r="D788" s="15" t="s">
        <v>353</v>
      </c>
      <c r="E788" s="62"/>
      <c r="F788" s="75">
        <v>6000</v>
      </c>
      <c r="G788" s="57"/>
      <c r="H788" s="57"/>
      <c r="I788" s="57"/>
      <c r="J788" s="430"/>
    </row>
    <row r="789" spans="1:10" s="58" customFormat="1" ht="15.75" hidden="1" customHeight="1" x14ac:dyDescent="0.25">
      <c r="A789" s="53"/>
      <c r="B789" s="109"/>
      <c r="C789" s="53">
        <v>1</v>
      </c>
      <c r="D789" s="15" t="s">
        <v>293</v>
      </c>
      <c r="E789" s="62"/>
      <c r="F789" s="75">
        <v>1924</v>
      </c>
      <c r="G789" s="57"/>
      <c r="H789" s="57"/>
      <c r="I789" s="57"/>
      <c r="J789" s="430"/>
    </row>
    <row r="790" spans="1:10" s="58" customFormat="1" hidden="1" x14ac:dyDescent="0.25">
      <c r="A790" s="53"/>
      <c r="B790" s="109" t="s">
        <v>252</v>
      </c>
      <c r="C790" s="53">
        <v>1</v>
      </c>
      <c r="D790" s="60" t="s">
        <v>88</v>
      </c>
      <c r="E790" s="62"/>
      <c r="F790" s="75">
        <f>F791</f>
        <v>41748</v>
      </c>
      <c r="G790" s="57"/>
      <c r="H790" s="57"/>
      <c r="I790" s="57"/>
      <c r="J790" s="430"/>
    </row>
    <row r="791" spans="1:10" s="58" customFormat="1" hidden="1" x14ac:dyDescent="0.25">
      <c r="A791" s="53"/>
      <c r="B791" s="109" t="s">
        <v>252</v>
      </c>
      <c r="C791" s="53">
        <v>1</v>
      </c>
      <c r="D791" s="19" t="s">
        <v>145</v>
      </c>
      <c r="E791" s="62"/>
      <c r="F791" s="75">
        <v>41748</v>
      </c>
      <c r="G791" s="57"/>
      <c r="H791" s="57"/>
      <c r="I791" s="57"/>
      <c r="J791" s="430"/>
    </row>
    <row r="792" spans="1:10" s="58" customFormat="1" ht="47.25" hidden="1" x14ac:dyDescent="0.25">
      <c r="A792" s="53"/>
      <c r="B792" s="109" t="s">
        <v>252</v>
      </c>
      <c r="C792" s="53">
        <v>1</v>
      </c>
      <c r="D792" s="61" t="s">
        <v>283</v>
      </c>
      <c r="E792" s="62"/>
      <c r="F792" s="477">
        <f>F793+F798</f>
        <v>13534</v>
      </c>
      <c r="G792" s="57"/>
      <c r="H792" s="57"/>
      <c r="I792" s="57"/>
      <c r="J792" s="430"/>
    </row>
    <row r="793" spans="1:10" s="58" customFormat="1" ht="14.25" hidden="1" customHeight="1" x14ac:dyDescent="0.25">
      <c r="A793" s="53"/>
      <c r="B793" s="109" t="s">
        <v>252</v>
      </c>
      <c r="C793" s="53">
        <v>1</v>
      </c>
      <c r="D793" s="16" t="s">
        <v>189</v>
      </c>
      <c r="E793" s="62"/>
      <c r="F793" s="477">
        <f>SUM(F794:F797)</f>
        <v>5874</v>
      </c>
      <c r="G793" s="57"/>
      <c r="H793" s="57"/>
      <c r="I793" s="57"/>
      <c r="J793" s="430"/>
    </row>
    <row r="794" spans="1:10" s="58" customFormat="1" ht="19.5" hidden="1" customHeight="1" x14ac:dyDescent="0.25">
      <c r="A794" s="53"/>
      <c r="B794" s="109" t="s">
        <v>252</v>
      </c>
      <c r="C794" s="53">
        <v>1</v>
      </c>
      <c r="D794" s="15" t="s">
        <v>190</v>
      </c>
      <c r="E794" s="62"/>
      <c r="F794" s="75">
        <v>5829</v>
      </c>
      <c r="G794" s="57"/>
      <c r="H794" s="57"/>
      <c r="I794" s="57"/>
      <c r="J794" s="430"/>
    </row>
    <row r="795" spans="1:10" s="58" customFormat="1" ht="45" hidden="1" x14ac:dyDescent="0.25">
      <c r="A795" s="53"/>
      <c r="B795" s="109" t="s">
        <v>252</v>
      </c>
      <c r="C795" s="53">
        <v>1</v>
      </c>
      <c r="D795" s="15" t="s">
        <v>191</v>
      </c>
      <c r="E795" s="62"/>
      <c r="F795" s="75"/>
      <c r="G795" s="57"/>
      <c r="H795" s="57"/>
      <c r="I795" s="57"/>
      <c r="J795" s="430"/>
    </row>
    <row r="796" spans="1:10" s="58" customFormat="1" ht="30" hidden="1" x14ac:dyDescent="0.25">
      <c r="A796" s="53"/>
      <c r="B796" s="109" t="s">
        <v>252</v>
      </c>
      <c r="C796" s="53">
        <v>1</v>
      </c>
      <c r="D796" s="15" t="s">
        <v>192</v>
      </c>
      <c r="E796" s="62"/>
      <c r="F796" s="75"/>
      <c r="G796" s="57"/>
      <c r="H796" s="57"/>
      <c r="I796" s="57"/>
      <c r="J796" s="430"/>
    </row>
    <row r="797" spans="1:10" s="58" customFormat="1" ht="30" hidden="1" x14ac:dyDescent="0.25">
      <c r="A797" s="53"/>
      <c r="B797" s="109" t="s">
        <v>252</v>
      </c>
      <c r="C797" s="53">
        <v>1</v>
      </c>
      <c r="D797" s="15" t="s">
        <v>193</v>
      </c>
      <c r="E797" s="62"/>
      <c r="F797" s="75">
        <v>45</v>
      </c>
      <c r="G797" s="57"/>
      <c r="H797" s="57"/>
      <c r="I797" s="57"/>
      <c r="J797" s="430"/>
    </row>
    <row r="798" spans="1:10" s="58" customFormat="1" ht="30" hidden="1" x14ac:dyDescent="0.25">
      <c r="A798" s="53"/>
      <c r="B798" s="109" t="s">
        <v>252</v>
      </c>
      <c r="C798" s="53">
        <v>1</v>
      </c>
      <c r="D798" s="16" t="s">
        <v>194</v>
      </c>
      <c r="E798" s="62"/>
      <c r="F798" s="477">
        <f>SUM(F799:F801)</f>
        <v>7660</v>
      </c>
      <c r="G798" s="57"/>
      <c r="H798" s="57"/>
      <c r="I798" s="57"/>
      <c r="J798" s="430"/>
    </row>
    <row r="799" spans="1:10" s="58" customFormat="1" ht="30" hidden="1" x14ac:dyDescent="0.25">
      <c r="A799" s="53"/>
      <c r="B799" s="109" t="s">
        <v>252</v>
      </c>
      <c r="C799" s="53">
        <v>1</v>
      </c>
      <c r="D799" s="15" t="s">
        <v>195</v>
      </c>
      <c r="E799" s="62"/>
      <c r="F799" s="75">
        <v>2097</v>
      </c>
      <c r="G799" s="57"/>
      <c r="H799" s="57"/>
      <c r="I799" s="57"/>
      <c r="J799" s="430"/>
    </row>
    <row r="800" spans="1:10" s="58" customFormat="1" ht="45" hidden="1" x14ac:dyDescent="0.25">
      <c r="A800" s="53"/>
      <c r="B800" s="109" t="s">
        <v>252</v>
      </c>
      <c r="C800" s="53">
        <v>1</v>
      </c>
      <c r="D800" s="15" t="s">
        <v>196</v>
      </c>
      <c r="E800" s="62"/>
      <c r="F800" s="75">
        <v>3410</v>
      </c>
      <c r="G800" s="57"/>
      <c r="H800" s="57"/>
      <c r="I800" s="57"/>
      <c r="J800" s="430"/>
    </row>
    <row r="801" spans="1:10" s="58" customFormat="1" ht="45" hidden="1" x14ac:dyDescent="0.25">
      <c r="A801" s="53"/>
      <c r="B801" s="109" t="s">
        <v>252</v>
      </c>
      <c r="C801" s="53">
        <v>1</v>
      </c>
      <c r="D801" s="15" t="s">
        <v>197</v>
      </c>
      <c r="E801" s="62"/>
      <c r="F801" s="75">
        <v>2153</v>
      </c>
      <c r="G801" s="57"/>
      <c r="H801" s="57"/>
      <c r="I801" s="57"/>
      <c r="J801" s="430"/>
    </row>
    <row r="802" spans="1:10" s="58" customFormat="1" hidden="1" x14ac:dyDescent="0.25">
      <c r="A802" s="53"/>
      <c r="B802" s="109"/>
      <c r="C802" s="53">
        <v>1</v>
      </c>
      <c r="D802" s="12" t="s">
        <v>96</v>
      </c>
      <c r="E802" s="62"/>
      <c r="F802" s="75"/>
      <c r="G802" s="57"/>
      <c r="H802" s="57"/>
      <c r="I802" s="57"/>
      <c r="J802" s="430"/>
    </row>
    <row r="803" spans="1:10" s="58" customFormat="1" hidden="1" x14ac:dyDescent="0.25">
      <c r="A803" s="53"/>
      <c r="B803" s="109" t="s">
        <v>252</v>
      </c>
      <c r="C803" s="53">
        <v>1</v>
      </c>
      <c r="D803" s="14" t="s">
        <v>296</v>
      </c>
      <c r="E803" s="62"/>
      <c r="F803" s="477">
        <f>SUM(F804,F805,F809,F810)+F811+F812</f>
        <v>1339.25</v>
      </c>
      <c r="G803" s="57"/>
      <c r="H803" s="57"/>
      <c r="I803" s="57"/>
      <c r="J803" s="52"/>
    </row>
    <row r="804" spans="1:10" s="58" customFormat="1" hidden="1" x14ac:dyDescent="0.25">
      <c r="A804" s="53"/>
      <c r="B804" s="109" t="s">
        <v>252</v>
      </c>
      <c r="C804" s="53">
        <v>1</v>
      </c>
      <c r="D804" s="15" t="s">
        <v>297</v>
      </c>
      <c r="E804" s="62"/>
      <c r="F804" s="75"/>
      <c r="G804" s="57"/>
      <c r="H804" s="57"/>
      <c r="I804" s="57"/>
      <c r="J804" s="52"/>
    </row>
    <row r="805" spans="1:10" s="58" customFormat="1" ht="30" hidden="1" x14ac:dyDescent="0.25">
      <c r="A805" s="53">
        <v>1</v>
      </c>
      <c r="B805" s="109" t="s">
        <v>252</v>
      </c>
      <c r="C805" s="53">
        <v>1</v>
      </c>
      <c r="D805" s="16" t="s">
        <v>298</v>
      </c>
      <c r="E805" s="24"/>
      <c r="F805" s="55">
        <f>F806+F807/4+F808</f>
        <v>11.25</v>
      </c>
      <c r="G805" s="24"/>
      <c r="H805" s="24"/>
      <c r="I805" s="24"/>
      <c r="J805" s="52"/>
    </row>
    <row r="806" spans="1:10" s="124" customFormat="1" hidden="1" x14ac:dyDescent="0.25">
      <c r="A806" s="104"/>
      <c r="B806" s="109" t="s">
        <v>252</v>
      </c>
      <c r="C806" s="53">
        <v>1</v>
      </c>
      <c r="D806" s="15" t="s">
        <v>299</v>
      </c>
      <c r="E806" s="13"/>
      <c r="F806" s="17"/>
      <c r="G806" s="10"/>
      <c r="H806" s="10"/>
      <c r="I806" s="10"/>
      <c r="J806" s="52"/>
    </row>
    <row r="807" spans="1:10" s="58" customFormat="1" ht="30" hidden="1" x14ac:dyDescent="0.25">
      <c r="A807" s="53">
        <v>1</v>
      </c>
      <c r="B807" s="109" t="s">
        <v>252</v>
      </c>
      <c r="C807" s="53">
        <v>1</v>
      </c>
      <c r="D807" s="15" t="s">
        <v>300</v>
      </c>
      <c r="E807" s="62"/>
      <c r="F807" s="63">
        <v>45</v>
      </c>
      <c r="G807" s="65"/>
      <c r="H807" s="57"/>
      <c r="I807" s="57"/>
      <c r="J807" s="52"/>
    </row>
    <row r="808" spans="1:10" s="58" customFormat="1" ht="45" hidden="1" x14ac:dyDescent="0.25">
      <c r="A808" s="53">
        <v>1</v>
      </c>
      <c r="B808" s="109" t="s">
        <v>252</v>
      </c>
      <c r="C808" s="53">
        <v>1</v>
      </c>
      <c r="D808" s="15" t="s">
        <v>301</v>
      </c>
      <c r="E808" s="62"/>
      <c r="F808" s="55"/>
      <c r="G808" s="57"/>
      <c r="H808" s="57"/>
      <c r="I808" s="57"/>
      <c r="J808" s="52"/>
    </row>
    <row r="809" spans="1:10" s="58" customFormat="1" ht="45" hidden="1" x14ac:dyDescent="0.25">
      <c r="A809" s="53">
        <v>1</v>
      </c>
      <c r="B809" s="109" t="s">
        <v>252</v>
      </c>
      <c r="C809" s="53">
        <v>1</v>
      </c>
      <c r="D809" s="15" t="s">
        <v>309</v>
      </c>
      <c r="E809" s="62"/>
      <c r="F809" s="433"/>
      <c r="G809" s="57"/>
      <c r="H809" s="57"/>
      <c r="I809" s="57"/>
      <c r="J809" s="52"/>
    </row>
    <row r="810" spans="1:10" ht="45" hidden="1" x14ac:dyDescent="0.25">
      <c r="A810" s="53">
        <v>1</v>
      </c>
      <c r="B810" s="109" t="s">
        <v>252</v>
      </c>
      <c r="C810" s="53">
        <v>1</v>
      </c>
      <c r="D810" s="18" t="s">
        <v>310</v>
      </c>
      <c r="E810" s="13"/>
      <c r="F810" s="55"/>
      <c r="G810" s="425"/>
      <c r="H810" s="425"/>
      <c r="I810" s="2"/>
    </row>
    <row r="811" spans="1:10" s="58" customFormat="1" ht="75" hidden="1" x14ac:dyDescent="0.25">
      <c r="A811" s="53"/>
      <c r="B811" s="109"/>
      <c r="C811" s="53">
        <v>1</v>
      </c>
      <c r="D811" s="18" t="s">
        <v>354</v>
      </c>
      <c r="E811" s="13"/>
      <c r="F811" s="55">
        <v>400</v>
      </c>
      <c r="G811" s="65"/>
      <c r="H811" s="65"/>
      <c r="I811" s="43"/>
      <c r="J811" s="52"/>
    </row>
    <row r="812" spans="1:10" s="58" customFormat="1" ht="28.5" hidden="1" x14ac:dyDescent="0.25">
      <c r="A812" s="53"/>
      <c r="B812" s="109"/>
      <c r="C812" s="53">
        <v>1</v>
      </c>
      <c r="D812" s="66" t="s">
        <v>344</v>
      </c>
      <c r="E812" s="13"/>
      <c r="F812" s="55">
        <f>F813</f>
        <v>928</v>
      </c>
      <c r="G812" s="59"/>
      <c r="H812" s="59"/>
      <c r="I812" s="81"/>
      <c r="J812" s="52"/>
    </row>
    <row r="813" spans="1:10" s="58" customFormat="1" hidden="1" x14ac:dyDescent="0.25">
      <c r="A813" s="53"/>
      <c r="B813" s="109"/>
      <c r="C813" s="53">
        <v>1</v>
      </c>
      <c r="D813" s="18" t="s">
        <v>345</v>
      </c>
      <c r="E813" s="13"/>
      <c r="F813" s="55">
        <v>928</v>
      </c>
      <c r="G813" s="59"/>
      <c r="H813" s="59"/>
      <c r="I813" s="81"/>
      <c r="J813" s="52"/>
    </row>
    <row r="814" spans="1:10" s="58" customFormat="1" ht="28.5" hidden="1" x14ac:dyDescent="0.25">
      <c r="A814" s="53"/>
      <c r="B814" s="109"/>
      <c r="C814" s="53">
        <v>1</v>
      </c>
      <c r="D814" s="66" t="s">
        <v>346</v>
      </c>
      <c r="E814" s="13"/>
      <c r="F814" s="55"/>
      <c r="G814" s="59"/>
      <c r="H814" s="59"/>
      <c r="I814" s="81"/>
      <c r="J814" s="52"/>
    </row>
    <row r="815" spans="1:10" hidden="1" x14ac:dyDescent="0.25">
      <c r="A815" s="53">
        <v>1</v>
      </c>
      <c r="B815" s="109" t="s">
        <v>252</v>
      </c>
      <c r="C815" s="53">
        <v>1</v>
      </c>
      <c r="D815" s="14" t="s">
        <v>303</v>
      </c>
      <c r="E815" s="41"/>
      <c r="F815" s="55">
        <f>F816+F818/9.4</f>
        <v>6142.2340425531911</v>
      </c>
      <c r="G815" s="425"/>
      <c r="H815" s="425"/>
      <c r="I815" s="2"/>
    </row>
    <row r="816" spans="1:10" hidden="1" x14ac:dyDescent="0.25">
      <c r="A816" s="53">
        <v>1</v>
      </c>
      <c r="B816" s="109" t="s">
        <v>252</v>
      </c>
      <c r="C816" s="53">
        <v>1</v>
      </c>
      <c r="D816" s="14" t="s">
        <v>304</v>
      </c>
      <c r="E816" s="41"/>
      <c r="F816" s="433"/>
      <c r="G816" s="425"/>
      <c r="H816" s="425"/>
      <c r="I816" s="2"/>
    </row>
    <row r="817" spans="1:10" s="58" customFormat="1" hidden="1" x14ac:dyDescent="0.25">
      <c r="A817" s="53">
        <v>1</v>
      </c>
      <c r="B817" s="109" t="s">
        <v>252</v>
      </c>
      <c r="C817" s="53">
        <v>1</v>
      </c>
      <c r="D817" s="15" t="s">
        <v>305</v>
      </c>
      <c r="E817" s="281"/>
      <c r="F817" s="55">
        <f>F818/9.4</f>
        <v>6142.2340425531911</v>
      </c>
      <c r="G817" s="57"/>
      <c r="H817" s="57"/>
      <c r="I817" s="57"/>
      <c r="J817" s="52"/>
    </row>
    <row r="818" spans="1:10" s="58" customFormat="1" hidden="1" x14ac:dyDescent="0.25">
      <c r="A818" s="53">
        <v>1</v>
      </c>
      <c r="B818" s="109" t="s">
        <v>252</v>
      </c>
      <c r="C818" s="53">
        <v>1</v>
      </c>
      <c r="D818" s="42" t="s">
        <v>314</v>
      </c>
      <c r="E818" s="64"/>
      <c r="F818" s="432">
        <v>57737</v>
      </c>
      <c r="G818" s="65"/>
      <c r="H818" s="65"/>
      <c r="I818" s="43"/>
      <c r="J818" s="52"/>
    </row>
    <row r="819" spans="1:10" s="58" customFormat="1" ht="29.25" hidden="1" x14ac:dyDescent="0.25">
      <c r="A819" s="53">
        <v>1</v>
      </c>
      <c r="B819" s="109" t="s">
        <v>252</v>
      </c>
      <c r="C819" s="53">
        <v>1</v>
      </c>
      <c r="D819" s="14" t="s">
        <v>306</v>
      </c>
      <c r="E819" s="13"/>
      <c r="F819" s="398">
        <v>12195</v>
      </c>
      <c r="G819" s="65"/>
      <c r="H819" s="65"/>
      <c r="I819" s="43"/>
      <c r="J819" s="52"/>
    </row>
    <row r="820" spans="1:10" s="58" customFormat="1" hidden="1" x14ac:dyDescent="0.25">
      <c r="A820" s="53">
        <v>1</v>
      </c>
      <c r="B820" s="109" t="s">
        <v>252</v>
      </c>
      <c r="C820" s="53">
        <v>1</v>
      </c>
      <c r="D820" s="19" t="s">
        <v>115</v>
      </c>
      <c r="E820" s="13"/>
      <c r="F820" s="55"/>
      <c r="G820" s="65"/>
      <c r="H820" s="65"/>
      <c r="I820" s="43"/>
      <c r="J820" s="52"/>
    </row>
    <row r="821" spans="1:10" s="58" customFormat="1" ht="57.75" hidden="1" x14ac:dyDescent="0.25">
      <c r="A821" s="53">
        <v>1</v>
      </c>
      <c r="B821" s="109" t="s">
        <v>252</v>
      </c>
      <c r="C821" s="53">
        <v>1</v>
      </c>
      <c r="D821" s="14" t="s">
        <v>312</v>
      </c>
      <c r="E821" s="13"/>
      <c r="F821" s="55"/>
      <c r="G821" s="65"/>
      <c r="H821" s="65"/>
      <c r="I821" s="43"/>
      <c r="J821" s="52"/>
    </row>
    <row r="822" spans="1:10" s="58" customFormat="1" hidden="1" x14ac:dyDescent="0.25">
      <c r="A822" s="53">
        <v>1</v>
      </c>
      <c r="B822" s="109" t="s">
        <v>252</v>
      </c>
      <c r="C822" s="53">
        <v>1</v>
      </c>
      <c r="D822" s="20" t="s">
        <v>158</v>
      </c>
      <c r="E822" s="13"/>
      <c r="F822" s="55">
        <f>F823+F824</f>
        <v>800</v>
      </c>
      <c r="G822" s="65"/>
      <c r="H822" s="65"/>
      <c r="I822" s="43"/>
      <c r="J822" s="52"/>
    </row>
    <row r="823" spans="1:10" s="58" customFormat="1" ht="16.5" hidden="1" customHeight="1" x14ac:dyDescent="0.25">
      <c r="A823" s="53">
        <v>1</v>
      </c>
      <c r="B823" s="109" t="s">
        <v>252</v>
      </c>
      <c r="C823" s="53">
        <v>1</v>
      </c>
      <c r="D823" s="126" t="s">
        <v>202</v>
      </c>
      <c r="E823" s="13"/>
      <c r="F823" s="63">
        <v>500</v>
      </c>
      <c r="G823" s="65"/>
      <c r="H823" s="65"/>
      <c r="I823" s="43"/>
      <c r="J823" s="52"/>
    </row>
    <row r="824" spans="1:10" s="58" customFormat="1" ht="30" hidden="1" x14ac:dyDescent="0.25">
      <c r="A824" s="53">
        <v>1</v>
      </c>
      <c r="B824" s="109" t="s">
        <v>252</v>
      </c>
      <c r="C824" s="53">
        <v>1</v>
      </c>
      <c r="D824" s="126" t="s">
        <v>203</v>
      </c>
      <c r="E824" s="13"/>
      <c r="F824" s="63">
        <v>300</v>
      </c>
      <c r="G824" s="65"/>
      <c r="H824" s="65"/>
      <c r="I824" s="43"/>
      <c r="J824" s="52"/>
    </row>
    <row r="825" spans="1:10" s="58" customFormat="1" hidden="1" x14ac:dyDescent="0.25">
      <c r="A825" s="53">
        <v>1</v>
      </c>
      <c r="B825" s="109" t="s">
        <v>252</v>
      </c>
      <c r="C825" s="53">
        <v>1</v>
      </c>
      <c r="D825" s="21" t="s">
        <v>198</v>
      </c>
      <c r="E825" s="13"/>
      <c r="F825" s="432">
        <f>F803+F782</f>
        <v>33643.25</v>
      </c>
      <c r="G825" s="65"/>
      <c r="H825" s="65"/>
      <c r="I825" s="43"/>
      <c r="J825" s="430"/>
    </row>
    <row r="826" spans="1:10" s="58" customFormat="1" ht="29.25" hidden="1" x14ac:dyDescent="0.25">
      <c r="A826" s="53">
        <v>1</v>
      </c>
      <c r="B826" s="109" t="s">
        <v>252</v>
      </c>
      <c r="C826" s="53">
        <v>1</v>
      </c>
      <c r="D826" s="21" t="s">
        <v>199</v>
      </c>
      <c r="E826" s="13"/>
      <c r="F826" s="432">
        <f>F792</f>
        <v>13534</v>
      </c>
      <c r="G826" s="65"/>
      <c r="H826" s="65"/>
      <c r="I826" s="43"/>
      <c r="J826" s="430"/>
    </row>
    <row r="827" spans="1:10" s="58" customFormat="1" hidden="1" x14ac:dyDescent="0.25">
      <c r="A827" s="53">
        <v>1</v>
      </c>
      <c r="B827" s="109" t="s">
        <v>252</v>
      </c>
      <c r="C827" s="53">
        <v>1</v>
      </c>
      <c r="D827" s="21" t="s">
        <v>200</v>
      </c>
      <c r="E827" s="13"/>
      <c r="F827" s="432">
        <f>F815+F790</f>
        <v>47890.234042553187</v>
      </c>
      <c r="G827" s="65"/>
      <c r="H827" s="65"/>
      <c r="I827" s="43"/>
      <c r="J827" s="430"/>
    </row>
    <row r="828" spans="1:10" s="58" customFormat="1" ht="29.25" hidden="1" x14ac:dyDescent="0.25">
      <c r="A828" s="53">
        <v>1</v>
      </c>
      <c r="B828" s="109" t="s">
        <v>252</v>
      </c>
      <c r="C828" s="53">
        <v>1</v>
      </c>
      <c r="D828" s="21" t="s">
        <v>201</v>
      </c>
      <c r="E828" s="13"/>
      <c r="F828" s="477">
        <f>F819</f>
        <v>12195</v>
      </c>
      <c r="G828" s="65"/>
      <c r="H828" s="65"/>
      <c r="I828" s="43"/>
      <c r="J828" s="430"/>
    </row>
    <row r="829" spans="1:10" s="58" customFormat="1" hidden="1" x14ac:dyDescent="0.25">
      <c r="A829" s="53">
        <v>1</v>
      </c>
      <c r="B829" s="109" t="s">
        <v>252</v>
      </c>
      <c r="C829" s="53">
        <v>1</v>
      </c>
      <c r="D829" s="22" t="s">
        <v>109</v>
      </c>
      <c r="E829" s="13"/>
      <c r="F829" s="398">
        <f>F825+F826+F828+F791*2.9+F818/4.2</f>
        <v>194188.35476190477</v>
      </c>
      <c r="G829" s="65"/>
      <c r="H829" s="65"/>
      <c r="I829" s="43"/>
      <c r="J829" s="430"/>
    </row>
    <row r="830" spans="1:10" hidden="1" x14ac:dyDescent="0.25">
      <c r="A830" s="53">
        <v>1</v>
      </c>
      <c r="B830" s="109" t="s">
        <v>252</v>
      </c>
      <c r="C830" s="53">
        <v>1</v>
      </c>
      <c r="D830" s="44" t="s">
        <v>7</v>
      </c>
      <c r="E830" s="68"/>
      <c r="F830" s="55"/>
      <c r="G830" s="2"/>
      <c r="H830" s="2"/>
      <c r="I830" s="2"/>
    </row>
    <row r="831" spans="1:10" hidden="1" x14ac:dyDescent="0.25">
      <c r="A831" s="53">
        <v>1</v>
      </c>
      <c r="B831" s="109" t="s">
        <v>252</v>
      </c>
      <c r="C831" s="53">
        <v>1</v>
      </c>
      <c r="D831" s="306" t="s">
        <v>71</v>
      </c>
      <c r="E831" s="68"/>
      <c r="F831" s="55"/>
      <c r="G831" s="2"/>
      <c r="H831" s="2"/>
      <c r="I831" s="2"/>
    </row>
    <row r="832" spans="1:10" hidden="1" x14ac:dyDescent="0.25">
      <c r="A832" s="53">
        <v>1</v>
      </c>
      <c r="B832" s="109" t="s">
        <v>252</v>
      </c>
      <c r="C832" s="53">
        <v>1</v>
      </c>
      <c r="D832" s="439" t="s">
        <v>35</v>
      </c>
      <c r="E832" s="54">
        <v>240</v>
      </c>
      <c r="F832" s="55">
        <v>785</v>
      </c>
      <c r="G832" s="47">
        <v>8</v>
      </c>
      <c r="H832" s="2">
        <f>ROUND(I832/E832,0)</f>
        <v>26</v>
      </c>
      <c r="I832" s="2">
        <f>ROUND(F832*G832,0)</f>
        <v>6280</v>
      </c>
    </row>
    <row r="833" spans="1:10" hidden="1" x14ac:dyDescent="0.25">
      <c r="A833" s="53">
        <v>1</v>
      </c>
      <c r="B833" s="109" t="s">
        <v>252</v>
      </c>
      <c r="C833" s="53">
        <v>1</v>
      </c>
      <c r="D833" s="497" t="s">
        <v>92</v>
      </c>
      <c r="E833" s="68"/>
      <c r="F833" s="459">
        <f>SUM(F832)</f>
        <v>785</v>
      </c>
      <c r="G833" s="476">
        <f t="shared" ref="F833:I834" si="10">G832</f>
        <v>8</v>
      </c>
      <c r="H833" s="31">
        <f t="shared" si="10"/>
        <v>26</v>
      </c>
      <c r="I833" s="31">
        <f t="shared" si="10"/>
        <v>6280</v>
      </c>
    </row>
    <row r="834" spans="1:10" hidden="1" x14ac:dyDescent="0.25">
      <c r="A834" s="53">
        <v>1</v>
      </c>
      <c r="B834" s="109" t="s">
        <v>252</v>
      </c>
      <c r="C834" s="53">
        <v>1</v>
      </c>
      <c r="D834" s="500" t="s">
        <v>86</v>
      </c>
      <c r="E834" s="495"/>
      <c r="F834" s="446">
        <f t="shared" si="10"/>
        <v>785</v>
      </c>
      <c r="G834" s="82">
        <f t="shared" si="10"/>
        <v>8</v>
      </c>
      <c r="H834" s="302">
        <f t="shared" si="10"/>
        <v>26</v>
      </c>
      <c r="I834" s="302">
        <f t="shared" si="10"/>
        <v>6280</v>
      </c>
    </row>
    <row r="835" spans="1:10" ht="15.75" hidden="1" thickBot="1" x14ac:dyDescent="0.3">
      <c r="A835" s="53">
        <v>1</v>
      </c>
      <c r="B835" s="109" t="s">
        <v>252</v>
      </c>
      <c r="C835" s="53">
        <v>1</v>
      </c>
      <c r="D835" s="448" t="s">
        <v>220</v>
      </c>
      <c r="E835" s="418"/>
      <c r="F835" s="494"/>
      <c r="G835" s="418"/>
      <c r="H835" s="418"/>
      <c r="I835" s="418"/>
    </row>
    <row r="836" spans="1:10" hidden="1" x14ac:dyDescent="0.25">
      <c r="A836" s="53">
        <v>1</v>
      </c>
      <c r="B836" s="53"/>
      <c r="C836" s="53">
        <v>1</v>
      </c>
      <c r="D836" s="451"/>
      <c r="E836" s="495"/>
      <c r="F836" s="55"/>
      <c r="G836" s="2"/>
      <c r="H836" s="2"/>
      <c r="I836" s="2"/>
    </row>
    <row r="837" spans="1:10" ht="29.25" hidden="1" x14ac:dyDescent="0.25">
      <c r="A837" s="109" t="s">
        <v>253</v>
      </c>
      <c r="B837" s="109" t="s">
        <v>253</v>
      </c>
      <c r="C837" s="53">
        <v>1</v>
      </c>
      <c r="D837" s="674" t="s">
        <v>395</v>
      </c>
      <c r="E837" s="68"/>
      <c r="F837" s="55"/>
      <c r="G837" s="2"/>
      <c r="H837" s="2"/>
      <c r="I837" s="2"/>
    </row>
    <row r="838" spans="1:10" s="58" customFormat="1" ht="46.5" hidden="1" customHeight="1" x14ac:dyDescent="0.25">
      <c r="A838" s="109" t="s">
        <v>253</v>
      </c>
      <c r="B838" s="109" t="s">
        <v>253</v>
      </c>
      <c r="C838" s="53">
        <v>1</v>
      </c>
      <c r="D838" s="101" t="s">
        <v>294</v>
      </c>
      <c r="E838" s="12"/>
      <c r="F838" s="429"/>
      <c r="G838" s="57"/>
      <c r="H838" s="57"/>
      <c r="I838" s="57"/>
      <c r="J838" s="430"/>
    </row>
    <row r="839" spans="1:10" s="58" customFormat="1" hidden="1" x14ac:dyDescent="0.25">
      <c r="A839" s="109" t="s">
        <v>253</v>
      </c>
      <c r="B839" s="109" t="s">
        <v>253</v>
      </c>
      <c r="C839" s="53">
        <v>1</v>
      </c>
      <c r="D839" s="14" t="s">
        <v>187</v>
      </c>
      <c r="E839" s="12"/>
      <c r="F839" s="429">
        <f>F841+F842+F844+F846</f>
        <v>43570</v>
      </c>
      <c r="G839" s="57"/>
      <c r="H839" s="57"/>
      <c r="I839" s="57"/>
      <c r="J839" s="430"/>
    </row>
    <row r="840" spans="1:10" s="58" customFormat="1" hidden="1" x14ac:dyDescent="0.25">
      <c r="A840" s="109" t="s">
        <v>253</v>
      </c>
      <c r="B840" s="109" t="s">
        <v>253</v>
      </c>
      <c r="C840" s="53">
        <v>1</v>
      </c>
      <c r="D840" s="18" t="s">
        <v>113</v>
      </c>
      <c r="E840" s="12"/>
      <c r="F840" s="429"/>
      <c r="G840" s="57"/>
      <c r="H840" s="57"/>
      <c r="I840" s="57"/>
      <c r="J840" s="430"/>
    </row>
    <row r="841" spans="1:10" s="58" customFormat="1" ht="30" hidden="1" x14ac:dyDescent="0.25">
      <c r="A841" s="109" t="s">
        <v>253</v>
      </c>
      <c r="B841" s="109" t="s">
        <v>253</v>
      </c>
      <c r="C841" s="53">
        <v>1</v>
      </c>
      <c r="D841" s="18" t="s">
        <v>114</v>
      </c>
      <c r="E841" s="12"/>
      <c r="F841" s="59">
        <v>6500</v>
      </c>
      <c r="G841" s="57"/>
      <c r="H841" s="57"/>
      <c r="I841" s="57"/>
      <c r="J841" s="430"/>
    </row>
    <row r="842" spans="1:10" s="58" customFormat="1" ht="30" hidden="1" x14ac:dyDescent="0.25">
      <c r="A842" s="109" t="s">
        <v>253</v>
      </c>
      <c r="B842" s="109" t="s">
        <v>253</v>
      </c>
      <c r="C842" s="53">
        <v>1</v>
      </c>
      <c r="D842" s="15" t="s">
        <v>361</v>
      </c>
      <c r="E842" s="12"/>
      <c r="F842" s="59">
        <v>15700</v>
      </c>
      <c r="G842" s="57"/>
      <c r="H842" s="57"/>
      <c r="I842" s="57"/>
      <c r="J842" s="430"/>
    </row>
    <row r="843" spans="1:10" s="58" customFormat="1" ht="45" hidden="1" x14ac:dyDescent="0.25">
      <c r="A843" s="109" t="s">
        <v>253</v>
      </c>
      <c r="B843" s="109" t="s">
        <v>253</v>
      </c>
      <c r="C843" s="53">
        <v>1</v>
      </c>
      <c r="D843" s="15" t="s">
        <v>219</v>
      </c>
      <c r="E843" s="12"/>
      <c r="F843" s="429"/>
      <c r="G843" s="57"/>
      <c r="H843" s="57"/>
      <c r="I843" s="57"/>
      <c r="J843" s="430"/>
    </row>
    <row r="844" spans="1:10" s="58" customFormat="1" ht="45" hidden="1" x14ac:dyDescent="0.25">
      <c r="A844" s="109" t="s">
        <v>253</v>
      </c>
      <c r="B844" s="109" t="s">
        <v>253</v>
      </c>
      <c r="C844" s="53">
        <v>1</v>
      </c>
      <c r="D844" s="15" t="s">
        <v>188</v>
      </c>
      <c r="E844" s="12"/>
      <c r="F844" s="59">
        <v>17500</v>
      </c>
      <c r="G844" s="57"/>
      <c r="H844" s="57"/>
      <c r="I844" s="57"/>
      <c r="J844" s="430"/>
    </row>
    <row r="845" spans="1:10" s="58" customFormat="1" ht="75" hidden="1" x14ac:dyDescent="0.25">
      <c r="A845" s="109"/>
      <c r="B845" s="109"/>
      <c r="C845" s="53">
        <v>1</v>
      </c>
      <c r="D845" s="15" t="s">
        <v>353</v>
      </c>
      <c r="E845" s="12"/>
      <c r="F845" s="59">
        <v>15000</v>
      </c>
      <c r="G845" s="57"/>
      <c r="H845" s="57"/>
      <c r="I845" s="57"/>
      <c r="J845" s="430"/>
    </row>
    <row r="846" spans="1:10" s="58" customFormat="1" ht="15" hidden="1" customHeight="1" x14ac:dyDescent="0.25">
      <c r="A846" s="109"/>
      <c r="B846" s="109"/>
      <c r="C846" s="53">
        <v>1</v>
      </c>
      <c r="D846" s="15" t="s">
        <v>293</v>
      </c>
      <c r="E846" s="12"/>
      <c r="F846" s="59">
        <v>3870</v>
      </c>
      <c r="G846" s="57"/>
      <c r="H846" s="57"/>
      <c r="I846" s="57"/>
      <c r="J846" s="430"/>
    </row>
    <row r="847" spans="1:10" s="58" customFormat="1" hidden="1" x14ac:dyDescent="0.25">
      <c r="A847" s="109" t="s">
        <v>253</v>
      </c>
      <c r="B847" s="109" t="s">
        <v>253</v>
      </c>
      <c r="C847" s="53">
        <v>1</v>
      </c>
      <c r="D847" s="60" t="s">
        <v>88</v>
      </c>
      <c r="E847" s="12"/>
      <c r="F847" s="429">
        <f>F848</f>
        <v>44000</v>
      </c>
      <c r="G847" s="57"/>
      <c r="H847" s="57"/>
      <c r="I847" s="57"/>
      <c r="J847" s="430"/>
    </row>
    <row r="848" spans="1:10" s="58" customFormat="1" hidden="1" x14ac:dyDescent="0.25">
      <c r="A848" s="109" t="s">
        <v>253</v>
      </c>
      <c r="B848" s="109" t="s">
        <v>253</v>
      </c>
      <c r="C848" s="53">
        <v>1</v>
      </c>
      <c r="D848" s="19" t="s">
        <v>145</v>
      </c>
      <c r="E848" s="12"/>
      <c r="F848" s="59">
        <v>44000</v>
      </c>
      <c r="G848" s="57"/>
      <c r="H848" s="57"/>
      <c r="I848" s="57"/>
      <c r="J848" s="430"/>
    </row>
    <row r="849" spans="1:10" s="58" customFormat="1" ht="47.25" hidden="1" x14ac:dyDescent="0.25">
      <c r="A849" s="109" t="s">
        <v>253</v>
      </c>
      <c r="B849" s="109" t="s">
        <v>253</v>
      </c>
      <c r="C849" s="53">
        <v>1</v>
      </c>
      <c r="D849" s="61" t="s">
        <v>283</v>
      </c>
      <c r="E849" s="12"/>
      <c r="F849" s="429">
        <f>F850+F855</f>
        <v>15871</v>
      </c>
      <c r="G849" s="57"/>
      <c r="H849" s="57"/>
      <c r="I849" s="57"/>
      <c r="J849" s="430"/>
    </row>
    <row r="850" spans="1:10" s="58" customFormat="1" ht="16.5" hidden="1" customHeight="1" x14ac:dyDescent="0.25">
      <c r="A850" s="109" t="s">
        <v>253</v>
      </c>
      <c r="B850" s="109" t="s">
        <v>253</v>
      </c>
      <c r="C850" s="53">
        <v>1</v>
      </c>
      <c r="D850" s="16" t="s">
        <v>189</v>
      </c>
      <c r="E850" s="62"/>
      <c r="F850" s="432">
        <f>SUM(F851:F854)</f>
        <v>11726</v>
      </c>
      <c r="G850" s="57"/>
      <c r="H850" s="57"/>
      <c r="I850" s="57"/>
      <c r="J850" s="430"/>
    </row>
    <row r="851" spans="1:10" s="58" customFormat="1" ht="16.5" hidden="1" customHeight="1" x14ac:dyDescent="0.25">
      <c r="A851" s="109" t="s">
        <v>253</v>
      </c>
      <c r="B851" s="109" t="s">
        <v>253</v>
      </c>
      <c r="C851" s="53">
        <v>1</v>
      </c>
      <c r="D851" s="15" t="s">
        <v>190</v>
      </c>
      <c r="E851" s="62"/>
      <c r="F851" s="63">
        <v>11726</v>
      </c>
      <c r="G851" s="57"/>
      <c r="H851" s="57"/>
      <c r="I851" s="57"/>
      <c r="J851" s="430"/>
    </row>
    <row r="852" spans="1:10" s="58" customFormat="1" ht="45" hidden="1" x14ac:dyDescent="0.25">
      <c r="A852" s="109" t="s">
        <v>253</v>
      </c>
      <c r="B852" s="109" t="s">
        <v>253</v>
      </c>
      <c r="C852" s="53">
        <v>1</v>
      </c>
      <c r="D852" s="15" t="s">
        <v>191</v>
      </c>
      <c r="E852" s="62"/>
      <c r="F852" s="55"/>
      <c r="G852" s="57"/>
      <c r="H852" s="57"/>
      <c r="I852" s="57"/>
      <c r="J852" s="430"/>
    </row>
    <row r="853" spans="1:10" s="58" customFormat="1" ht="30" hidden="1" x14ac:dyDescent="0.25">
      <c r="A853" s="109" t="s">
        <v>253</v>
      </c>
      <c r="B853" s="109" t="s">
        <v>253</v>
      </c>
      <c r="C853" s="53">
        <v>1</v>
      </c>
      <c r="D853" s="15" t="s">
        <v>192</v>
      </c>
      <c r="E853" s="62"/>
      <c r="F853" s="55"/>
      <c r="G853" s="57"/>
      <c r="H853" s="57"/>
      <c r="I853" s="57"/>
      <c r="J853" s="430"/>
    </row>
    <row r="854" spans="1:10" s="58" customFormat="1" ht="30" hidden="1" x14ac:dyDescent="0.25">
      <c r="A854" s="109" t="s">
        <v>253</v>
      </c>
      <c r="B854" s="109" t="s">
        <v>253</v>
      </c>
      <c r="C854" s="53">
        <v>1</v>
      </c>
      <c r="D854" s="15" t="s">
        <v>193</v>
      </c>
      <c r="E854" s="62"/>
      <c r="F854" s="55"/>
      <c r="G854" s="57"/>
      <c r="H854" s="57"/>
      <c r="I854" s="57"/>
      <c r="J854" s="430"/>
    </row>
    <row r="855" spans="1:10" s="58" customFormat="1" ht="30" hidden="1" x14ac:dyDescent="0.25">
      <c r="A855" s="109" t="s">
        <v>253</v>
      </c>
      <c r="B855" s="109" t="s">
        <v>253</v>
      </c>
      <c r="C855" s="53">
        <v>1</v>
      </c>
      <c r="D855" s="16" t="s">
        <v>194</v>
      </c>
      <c r="E855" s="62"/>
      <c r="F855" s="496">
        <f>SUM(F856:F858)</f>
        <v>4145</v>
      </c>
      <c r="G855" s="57"/>
      <c r="H855" s="57"/>
      <c r="I855" s="57"/>
      <c r="J855" s="430"/>
    </row>
    <row r="856" spans="1:10" ht="30" hidden="1" x14ac:dyDescent="0.25">
      <c r="A856" s="109" t="s">
        <v>253</v>
      </c>
      <c r="B856" s="109" t="s">
        <v>253</v>
      </c>
      <c r="C856" s="53">
        <v>1</v>
      </c>
      <c r="D856" s="15" t="s">
        <v>195</v>
      </c>
      <c r="E856" s="13"/>
      <c r="F856" s="55">
        <v>4145</v>
      </c>
      <c r="G856" s="425"/>
      <c r="H856" s="2"/>
      <c r="I856" s="2"/>
    </row>
    <row r="857" spans="1:10" s="58" customFormat="1" ht="45" hidden="1" x14ac:dyDescent="0.25">
      <c r="A857" s="109" t="s">
        <v>253</v>
      </c>
      <c r="B857" s="109" t="s">
        <v>253</v>
      </c>
      <c r="C857" s="53">
        <v>1</v>
      </c>
      <c r="D857" s="15" t="s">
        <v>196</v>
      </c>
      <c r="E857" s="281"/>
      <c r="F857" s="55"/>
      <c r="G857" s="57"/>
      <c r="H857" s="57"/>
      <c r="I857" s="57"/>
      <c r="J857" s="430"/>
    </row>
    <row r="858" spans="1:10" s="58" customFormat="1" ht="45" hidden="1" x14ac:dyDescent="0.25">
      <c r="A858" s="109" t="s">
        <v>253</v>
      </c>
      <c r="B858" s="109" t="s">
        <v>253</v>
      </c>
      <c r="C858" s="53">
        <v>1</v>
      </c>
      <c r="D858" s="15" t="s">
        <v>197</v>
      </c>
      <c r="E858" s="64"/>
      <c r="F858" s="63"/>
      <c r="G858" s="65"/>
      <c r="H858" s="65"/>
      <c r="I858" s="43"/>
      <c r="J858" s="430"/>
    </row>
    <row r="859" spans="1:10" s="58" customFormat="1" hidden="1" x14ac:dyDescent="0.25">
      <c r="A859" s="109"/>
      <c r="B859" s="109"/>
      <c r="C859" s="53">
        <v>1</v>
      </c>
      <c r="D859" s="12" t="s">
        <v>96</v>
      </c>
      <c r="E859" s="64"/>
      <c r="F859" s="75"/>
      <c r="G859" s="65"/>
      <c r="H859" s="65"/>
      <c r="I859" s="43"/>
      <c r="J859" s="430"/>
    </row>
    <row r="860" spans="1:10" s="58" customFormat="1" hidden="1" x14ac:dyDescent="0.25">
      <c r="A860" s="109" t="s">
        <v>253</v>
      </c>
      <c r="B860" s="109" t="s">
        <v>253</v>
      </c>
      <c r="C860" s="53">
        <v>1</v>
      </c>
      <c r="D860" s="14" t="s">
        <v>296</v>
      </c>
      <c r="E860" s="13"/>
      <c r="F860" s="398">
        <f>SUM(F861,F862,F866,F867,F868,F869)</f>
        <v>4043</v>
      </c>
      <c r="G860" s="65"/>
      <c r="H860" s="65"/>
      <c r="I860" s="43"/>
      <c r="J860" s="52"/>
    </row>
    <row r="861" spans="1:10" s="58" customFormat="1" hidden="1" x14ac:dyDescent="0.25">
      <c r="A861" s="109" t="s">
        <v>253</v>
      </c>
      <c r="B861" s="109" t="s">
        <v>253</v>
      </c>
      <c r="C861" s="53">
        <v>1</v>
      </c>
      <c r="D861" s="15" t="s">
        <v>297</v>
      </c>
      <c r="E861" s="13"/>
      <c r="F861" s="55"/>
      <c r="G861" s="65"/>
      <c r="H861" s="65"/>
      <c r="I861" s="43"/>
      <c r="J861" s="52"/>
    </row>
    <row r="862" spans="1:10" s="58" customFormat="1" ht="30" hidden="1" x14ac:dyDescent="0.25">
      <c r="A862" s="109" t="s">
        <v>253</v>
      </c>
      <c r="B862" s="109" t="s">
        <v>253</v>
      </c>
      <c r="C862" s="53">
        <v>1</v>
      </c>
      <c r="D862" s="16" t="s">
        <v>298</v>
      </c>
      <c r="E862" s="13"/>
      <c r="F862" s="55"/>
      <c r="G862" s="65"/>
      <c r="H862" s="65"/>
      <c r="I862" s="43"/>
      <c r="J862" s="52"/>
    </row>
    <row r="863" spans="1:10" s="124" customFormat="1" hidden="1" x14ac:dyDescent="0.25">
      <c r="A863" s="109" t="s">
        <v>253</v>
      </c>
      <c r="B863" s="109" t="s">
        <v>253</v>
      </c>
      <c r="C863" s="53">
        <v>1</v>
      </c>
      <c r="D863" s="15" t="s">
        <v>299</v>
      </c>
      <c r="E863" s="13"/>
      <c r="F863" s="17"/>
      <c r="G863" s="10"/>
      <c r="H863" s="10"/>
      <c r="I863" s="10"/>
      <c r="J863" s="52"/>
    </row>
    <row r="864" spans="1:10" s="58" customFormat="1" ht="30" hidden="1" x14ac:dyDescent="0.25">
      <c r="A864" s="109" t="s">
        <v>253</v>
      </c>
      <c r="B864" s="109" t="s">
        <v>253</v>
      </c>
      <c r="C864" s="53">
        <v>1</v>
      </c>
      <c r="D864" s="15" t="s">
        <v>300</v>
      </c>
      <c r="E864" s="13"/>
      <c r="F864" s="55"/>
      <c r="G864" s="65"/>
      <c r="H864" s="65"/>
      <c r="I864" s="43"/>
      <c r="J864" s="52"/>
    </row>
    <row r="865" spans="1:10" s="58" customFormat="1" ht="45" hidden="1" x14ac:dyDescent="0.25">
      <c r="A865" s="109" t="s">
        <v>253</v>
      </c>
      <c r="B865" s="109" t="s">
        <v>253</v>
      </c>
      <c r="C865" s="53">
        <v>1</v>
      </c>
      <c r="D865" s="15" t="s">
        <v>301</v>
      </c>
      <c r="E865" s="13"/>
      <c r="F865" s="63"/>
      <c r="G865" s="65"/>
      <c r="H865" s="65"/>
      <c r="I865" s="43"/>
      <c r="J865" s="52"/>
    </row>
    <row r="866" spans="1:10" s="58" customFormat="1" ht="45" hidden="1" x14ac:dyDescent="0.25">
      <c r="A866" s="109" t="s">
        <v>253</v>
      </c>
      <c r="B866" s="109" t="s">
        <v>253</v>
      </c>
      <c r="C866" s="53">
        <v>1</v>
      </c>
      <c r="D866" s="15" t="s">
        <v>309</v>
      </c>
      <c r="E866" s="13"/>
      <c r="F866" s="63"/>
      <c r="G866" s="65"/>
      <c r="H866" s="65"/>
      <c r="I866" s="43"/>
      <c r="J866" s="52"/>
    </row>
    <row r="867" spans="1:10" s="58" customFormat="1" ht="45" hidden="1" x14ac:dyDescent="0.25">
      <c r="A867" s="109" t="s">
        <v>253</v>
      </c>
      <c r="B867" s="109" t="s">
        <v>253</v>
      </c>
      <c r="C867" s="53">
        <v>1</v>
      </c>
      <c r="D867" s="18" t="s">
        <v>310</v>
      </c>
      <c r="E867" s="13"/>
      <c r="F867" s="63"/>
      <c r="G867" s="65"/>
      <c r="H867" s="65"/>
      <c r="I867" s="43"/>
      <c r="J867" s="52"/>
    </row>
    <row r="868" spans="1:10" s="58" customFormat="1" ht="75" hidden="1" x14ac:dyDescent="0.25">
      <c r="A868" s="53"/>
      <c r="B868" s="109"/>
      <c r="C868" s="53">
        <v>1</v>
      </c>
      <c r="D868" s="18" t="s">
        <v>354</v>
      </c>
      <c r="E868" s="13"/>
      <c r="F868" s="55">
        <v>200</v>
      </c>
      <c r="G868" s="65"/>
      <c r="H868" s="65"/>
      <c r="I868" s="43"/>
      <c r="J868" s="52"/>
    </row>
    <row r="869" spans="1:10" s="58" customFormat="1" ht="28.5" hidden="1" x14ac:dyDescent="0.25">
      <c r="A869" s="53"/>
      <c r="B869" s="109"/>
      <c r="C869" s="53">
        <v>1</v>
      </c>
      <c r="D869" s="66" t="s">
        <v>344</v>
      </c>
      <c r="E869" s="13"/>
      <c r="F869" s="55">
        <f>F870</f>
        <v>3843</v>
      </c>
      <c r="G869" s="59"/>
      <c r="H869" s="59"/>
      <c r="I869" s="81"/>
      <c r="J869" s="52"/>
    </row>
    <row r="870" spans="1:10" s="58" customFormat="1" hidden="1" x14ac:dyDescent="0.25">
      <c r="A870" s="53"/>
      <c r="B870" s="109"/>
      <c r="C870" s="53">
        <v>1</v>
      </c>
      <c r="D870" s="18" t="s">
        <v>345</v>
      </c>
      <c r="E870" s="13"/>
      <c r="F870" s="55">
        <v>3843</v>
      </c>
      <c r="G870" s="59"/>
      <c r="H870" s="59"/>
      <c r="I870" s="81"/>
      <c r="J870" s="52"/>
    </row>
    <row r="871" spans="1:10" s="58" customFormat="1" ht="28.5" hidden="1" x14ac:dyDescent="0.25">
      <c r="A871" s="53"/>
      <c r="B871" s="109"/>
      <c r="C871" s="53">
        <v>1</v>
      </c>
      <c r="D871" s="66" t="s">
        <v>346</v>
      </c>
      <c r="E871" s="13"/>
      <c r="F871" s="55"/>
      <c r="G871" s="59"/>
      <c r="H871" s="59"/>
      <c r="I871" s="81"/>
      <c r="J871" s="52"/>
    </row>
    <row r="872" spans="1:10" s="58" customFormat="1" hidden="1" x14ac:dyDescent="0.25">
      <c r="A872" s="109" t="s">
        <v>253</v>
      </c>
      <c r="B872" s="109" t="s">
        <v>253</v>
      </c>
      <c r="C872" s="53">
        <v>1</v>
      </c>
      <c r="D872" s="14" t="s">
        <v>303</v>
      </c>
      <c r="E872" s="13"/>
      <c r="F872" s="75"/>
      <c r="G872" s="65"/>
      <c r="H872" s="65"/>
      <c r="I872" s="43"/>
      <c r="J872" s="52"/>
    </row>
    <row r="873" spans="1:10" s="58" customFormat="1" hidden="1" x14ac:dyDescent="0.25">
      <c r="A873" s="109" t="s">
        <v>253</v>
      </c>
      <c r="B873" s="109" t="s">
        <v>253</v>
      </c>
      <c r="C873" s="53">
        <v>1</v>
      </c>
      <c r="D873" s="14" t="s">
        <v>304</v>
      </c>
      <c r="E873" s="13"/>
      <c r="F873" s="55"/>
      <c r="G873" s="65"/>
      <c r="H873" s="65"/>
      <c r="I873" s="43"/>
      <c r="J873" s="52"/>
    </row>
    <row r="874" spans="1:10" s="58" customFormat="1" hidden="1" x14ac:dyDescent="0.25">
      <c r="A874" s="109" t="s">
        <v>253</v>
      </c>
      <c r="B874" s="109" t="s">
        <v>253</v>
      </c>
      <c r="C874" s="53">
        <v>1</v>
      </c>
      <c r="D874" s="15" t="s">
        <v>305</v>
      </c>
      <c r="E874" s="13"/>
      <c r="F874" s="55"/>
      <c r="G874" s="65"/>
      <c r="H874" s="65"/>
      <c r="I874" s="43"/>
      <c r="J874" s="52"/>
    </row>
    <row r="875" spans="1:10" s="58" customFormat="1" hidden="1" x14ac:dyDescent="0.25">
      <c r="A875" s="109" t="s">
        <v>253</v>
      </c>
      <c r="B875" s="109" t="s">
        <v>253</v>
      </c>
      <c r="C875" s="53">
        <v>1</v>
      </c>
      <c r="D875" s="42" t="s">
        <v>314</v>
      </c>
      <c r="E875" s="13"/>
      <c r="F875" s="501"/>
      <c r="G875" s="65"/>
      <c r="H875" s="65"/>
      <c r="I875" s="43"/>
      <c r="J875" s="52"/>
    </row>
    <row r="876" spans="1:10" s="58" customFormat="1" ht="29.25" hidden="1" x14ac:dyDescent="0.25">
      <c r="A876" s="109" t="s">
        <v>253</v>
      </c>
      <c r="B876" s="109" t="s">
        <v>253</v>
      </c>
      <c r="C876" s="53">
        <v>1</v>
      </c>
      <c r="D876" s="14" t="s">
        <v>306</v>
      </c>
      <c r="E876" s="13"/>
      <c r="F876" s="501">
        <v>13000</v>
      </c>
      <c r="G876" s="65"/>
      <c r="H876" s="65"/>
      <c r="I876" s="43"/>
      <c r="J876" s="52"/>
    </row>
    <row r="877" spans="1:10" s="58" customFormat="1" hidden="1" x14ac:dyDescent="0.25">
      <c r="A877" s="109" t="s">
        <v>253</v>
      </c>
      <c r="B877" s="109" t="s">
        <v>253</v>
      </c>
      <c r="C877" s="53">
        <v>1</v>
      </c>
      <c r="D877" s="19" t="s">
        <v>115</v>
      </c>
      <c r="E877" s="13"/>
      <c r="F877" s="501"/>
      <c r="G877" s="65"/>
      <c r="H877" s="65"/>
      <c r="I877" s="43"/>
      <c r="J877" s="52"/>
    </row>
    <row r="878" spans="1:10" s="58" customFormat="1" ht="57.75" hidden="1" x14ac:dyDescent="0.25">
      <c r="A878" s="109" t="s">
        <v>253</v>
      </c>
      <c r="B878" s="109" t="s">
        <v>253</v>
      </c>
      <c r="C878" s="53">
        <v>1</v>
      </c>
      <c r="D878" s="21" t="s">
        <v>312</v>
      </c>
      <c r="E878" s="13"/>
      <c r="F878" s="501"/>
      <c r="G878" s="65"/>
      <c r="H878" s="65"/>
      <c r="I878" s="43"/>
      <c r="J878" s="52"/>
    </row>
    <row r="879" spans="1:10" s="58" customFormat="1" ht="29.25" hidden="1" x14ac:dyDescent="0.25">
      <c r="A879" s="109"/>
      <c r="B879" s="109"/>
      <c r="C879" s="53">
        <v>1</v>
      </c>
      <c r="D879" s="49" t="s">
        <v>320</v>
      </c>
      <c r="E879" s="13"/>
      <c r="F879" s="511"/>
      <c r="G879" s="65"/>
      <c r="H879" s="65"/>
      <c r="I879" s="43"/>
      <c r="J879" s="52"/>
    </row>
    <row r="880" spans="1:10" s="58" customFormat="1" hidden="1" x14ac:dyDescent="0.25">
      <c r="A880" s="109" t="s">
        <v>253</v>
      </c>
      <c r="B880" s="109" t="s">
        <v>253</v>
      </c>
      <c r="C880" s="53">
        <v>1</v>
      </c>
      <c r="D880" s="20" t="s">
        <v>158</v>
      </c>
      <c r="E880" s="13"/>
      <c r="F880" s="55">
        <f>F881+F882+F883+F884</f>
        <v>4300</v>
      </c>
      <c r="G880" s="65"/>
      <c r="H880" s="65"/>
      <c r="I880" s="43"/>
      <c r="J880" s="52"/>
    </row>
    <row r="881" spans="1:10" s="58" customFormat="1" ht="32.25" hidden="1" customHeight="1" x14ac:dyDescent="0.25">
      <c r="A881" s="109" t="s">
        <v>253</v>
      </c>
      <c r="B881" s="109" t="s">
        <v>253</v>
      </c>
      <c r="C881" s="53">
        <v>1</v>
      </c>
      <c r="D881" s="208" t="s">
        <v>150</v>
      </c>
      <c r="E881" s="62"/>
      <c r="F881" s="75">
        <v>1500</v>
      </c>
      <c r="G881" s="65"/>
      <c r="H881" s="65"/>
      <c r="I881" s="43"/>
      <c r="J881" s="52"/>
    </row>
    <row r="882" spans="1:10" s="58" customFormat="1" ht="30" hidden="1" x14ac:dyDescent="0.25">
      <c r="A882" s="109" t="s">
        <v>253</v>
      </c>
      <c r="B882" s="109" t="s">
        <v>253</v>
      </c>
      <c r="C882" s="53">
        <v>1</v>
      </c>
      <c r="D882" s="126" t="s">
        <v>203</v>
      </c>
      <c r="E882" s="13"/>
      <c r="F882" s="55">
        <v>1000</v>
      </c>
      <c r="G882" s="65"/>
      <c r="H882" s="65"/>
      <c r="I882" s="43"/>
      <c r="J882" s="52"/>
    </row>
    <row r="883" spans="1:10" s="58" customFormat="1" ht="30" hidden="1" x14ac:dyDescent="0.25">
      <c r="A883" s="109" t="s">
        <v>253</v>
      </c>
      <c r="B883" s="109" t="s">
        <v>253</v>
      </c>
      <c r="C883" s="53">
        <v>1</v>
      </c>
      <c r="D883" s="513" t="s">
        <v>202</v>
      </c>
      <c r="E883" s="13"/>
      <c r="F883" s="453">
        <v>900</v>
      </c>
      <c r="G883" s="65"/>
      <c r="H883" s="65"/>
      <c r="I883" s="43"/>
      <c r="J883" s="52"/>
    </row>
    <row r="884" spans="1:10" s="58" customFormat="1" hidden="1" x14ac:dyDescent="0.25">
      <c r="A884" s="109" t="s">
        <v>253</v>
      </c>
      <c r="B884" s="109" t="s">
        <v>253</v>
      </c>
      <c r="C884" s="53">
        <v>1</v>
      </c>
      <c r="D884" s="439" t="s">
        <v>31</v>
      </c>
      <c r="E884" s="62"/>
      <c r="F884" s="75">
        <v>900</v>
      </c>
      <c r="G884" s="65"/>
      <c r="H884" s="65"/>
      <c r="I884" s="43"/>
      <c r="J884" s="52"/>
    </row>
    <row r="885" spans="1:10" hidden="1" x14ac:dyDescent="0.25">
      <c r="A885" s="109" t="s">
        <v>253</v>
      </c>
      <c r="B885" s="109" t="s">
        <v>253</v>
      </c>
      <c r="C885" s="53">
        <v>1</v>
      </c>
      <c r="D885" s="21" t="s">
        <v>198</v>
      </c>
      <c r="E885" s="13"/>
      <c r="F885" s="398">
        <f>F860+F839</f>
        <v>47613</v>
      </c>
      <c r="G885" s="425"/>
      <c r="H885" s="2"/>
      <c r="I885" s="2"/>
    </row>
    <row r="886" spans="1:10" s="58" customFormat="1" ht="29.25" hidden="1" x14ac:dyDescent="0.25">
      <c r="A886" s="109" t="s">
        <v>253</v>
      </c>
      <c r="B886" s="109" t="s">
        <v>253</v>
      </c>
      <c r="C886" s="53">
        <v>1</v>
      </c>
      <c r="D886" s="21" t="s">
        <v>199</v>
      </c>
      <c r="E886" s="13"/>
      <c r="F886" s="398">
        <f>F849</f>
        <v>15871</v>
      </c>
      <c r="G886" s="65"/>
      <c r="H886" s="65"/>
      <c r="I886" s="43"/>
      <c r="J886" s="430"/>
    </row>
    <row r="887" spans="1:10" s="58" customFormat="1" hidden="1" x14ac:dyDescent="0.25">
      <c r="A887" s="109" t="s">
        <v>253</v>
      </c>
      <c r="B887" s="109" t="s">
        <v>253</v>
      </c>
      <c r="C887" s="53">
        <v>1</v>
      </c>
      <c r="D887" s="21" t="s">
        <v>200</v>
      </c>
      <c r="E887" s="13"/>
      <c r="F887" s="398">
        <f>F872+F847</f>
        <v>44000</v>
      </c>
      <c r="G887" s="65"/>
      <c r="H887" s="65"/>
      <c r="I887" s="43"/>
      <c r="J887" s="430"/>
    </row>
    <row r="888" spans="1:10" s="58" customFormat="1" ht="29.25" hidden="1" x14ac:dyDescent="0.25">
      <c r="A888" s="109" t="s">
        <v>253</v>
      </c>
      <c r="B888" s="109" t="s">
        <v>253</v>
      </c>
      <c r="C888" s="53">
        <v>1</v>
      </c>
      <c r="D888" s="21" t="s">
        <v>201</v>
      </c>
      <c r="E888" s="13"/>
      <c r="F888" s="398">
        <f>F876</f>
        <v>13000</v>
      </c>
      <c r="G888" s="65"/>
      <c r="H888" s="65"/>
      <c r="I888" s="43"/>
      <c r="J888" s="430"/>
    </row>
    <row r="889" spans="1:10" s="58" customFormat="1" hidden="1" x14ac:dyDescent="0.25">
      <c r="A889" s="109" t="s">
        <v>253</v>
      </c>
      <c r="B889" s="109" t="s">
        <v>253</v>
      </c>
      <c r="C889" s="53">
        <v>1</v>
      </c>
      <c r="D889" s="22" t="s">
        <v>109</v>
      </c>
      <c r="E889" s="13"/>
      <c r="F889" s="398">
        <f>F885+F886+F888+F887*2.9</f>
        <v>204084</v>
      </c>
      <c r="G889" s="65"/>
      <c r="H889" s="65"/>
      <c r="I889" s="43"/>
      <c r="J889" s="430"/>
    </row>
    <row r="890" spans="1:10" hidden="1" x14ac:dyDescent="0.25">
      <c r="A890" s="109" t="s">
        <v>253</v>
      </c>
      <c r="B890" s="109" t="s">
        <v>253</v>
      </c>
      <c r="C890" s="53">
        <v>1</v>
      </c>
      <c r="D890" s="44" t="s">
        <v>7</v>
      </c>
      <c r="E890" s="514"/>
      <c r="F890" s="515"/>
      <c r="G890" s="425"/>
      <c r="H890" s="2"/>
      <c r="I890" s="2"/>
    </row>
    <row r="891" spans="1:10" hidden="1" x14ac:dyDescent="0.25">
      <c r="A891" s="109" t="s">
        <v>253</v>
      </c>
      <c r="B891" s="109" t="s">
        <v>253</v>
      </c>
      <c r="C891" s="53">
        <v>1</v>
      </c>
      <c r="D891" s="306" t="s">
        <v>71</v>
      </c>
      <c r="E891" s="514"/>
      <c r="F891" s="515"/>
      <c r="G891" s="425"/>
      <c r="H891" s="2"/>
      <c r="I891" s="2"/>
    </row>
    <row r="892" spans="1:10" hidden="1" x14ac:dyDescent="0.25">
      <c r="A892" s="109" t="s">
        <v>253</v>
      </c>
      <c r="B892" s="109" t="s">
        <v>253</v>
      </c>
      <c r="C892" s="53">
        <v>1</v>
      </c>
      <c r="D892" s="439" t="s">
        <v>55</v>
      </c>
      <c r="E892" s="54">
        <v>240</v>
      </c>
      <c r="F892" s="55">
        <v>590</v>
      </c>
      <c r="G892" s="47">
        <v>9</v>
      </c>
      <c r="H892" s="2">
        <f>ROUND(I892/E892,0)</f>
        <v>22</v>
      </c>
      <c r="I892" s="2">
        <f>ROUND(F892*G892,0)</f>
        <v>5310</v>
      </c>
    </row>
    <row r="893" spans="1:10" hidden="1" x14ac:dyDescent="0.25">
      <c r="A893" s="109" t="s">
        <v>253</v>
      </c>
      <c r="B893" s="109" t="s">
        <v>253</v>
      </c>
      <c r="C893" s="53">
        <v>1</v>
      </c>
      <c r="D893" s="439" t="s">
        <v>35</v>
      </c>
      <c r="E893" s="54">
        <v>240</v>
      </c>
      <c r="F893" s="55">
        <v>1435</v>
      </c>
      <c r="G893" s="47">
        <v>8</v>
      </c>
      <c r="H893" s="2">
        <f>ROUND(I893/E893,0)</f>
        <v>48</v>
      </c>
      <c r="I893" s="2">
        <f>ROUND(F893*G893,0)</f>
        <v>11480</v>
      </c>
    </row>
    <row r="894" spans="1:10" hidden="1" x14ac:dyDescent="0.25">
      <c r="A894" s="109" t="s">
        <v>253</v>
      </c>
      <c r="B894" s="109" t="s">
        <v>253</v>
      </c>
      <c r="C894" s="53">
        <v>1</v>
      </c>
      <c r="D894" s="497" t="s">
        <v>92</v>
      </c>
      <c r="E894" s="68"/>
      <c r="F894" s="459">
        <f>SUM(F892:F893)</f>
        <v>2025</v>
      </c>
      <c r="G894" s="476">
        <f>I894/F894</f>
        <v>8.2913580246913572</v>
      </c>
      <c r="H894" s="31">
        <f>SUM(H892:H893)</f>
        <v>70</v>
      </c>
      <c r="I894" s="31">
        <f>SUM(I892:I893)</f>
        <v>16790</v>
      </c>
    </row>
    <row r="895" spans="1:10" hidden="1" x14ac:dyDescent="0.25">
      <c r="A895" s="109" t="s">
        <v>253</v>
      </c>
      <c r="B895" s="109" t="s">
        <v>253</v>
      </c>
      <c r="C895" s="53">
        <v>1</v>
      </c>
      <c r="D895" s="500" t="s">
        <v>86</v>
      </c>
      <c r="E895" s="495"/>
      <c r="F895" s="446">
        <f>F894</f>
        <v>2025</v>
      </c>
      <c r="G895" s="82">
        <f>G894</f>
        <v>8.2913580246913572</v>
      </c>
      <c r="H895" s="302">
        <f>H894</f>
        <v>70</v>
      </c>
      <c r="I895" s="302">
        <f>I894</f>
        <v>16790</v>
      </c>
    </row>
    <row r="896" spans="1:10" ht="15.75" hidden="1" thickBot="1" x14ac:dyDescent="0.3">
      <c r="A896" s="109" t="s">
        <v>253</v>
      </c>
      <c r="B896" s="109" t="s">
        <v>253</v>
      </c>
      <c r="C896" s="53">
        <v>1</v>
      </c>
      <c r="D896" s="448" t="s">
        <v>220</v>
      </c>
      <c r="E896" s="462"/>
      <c r="F896" s="463"/>
      <c r="G896" s="462"/>
      <c r="H896" s="462"/>
      <c r="I896" s="462"/>
    </row>
    <row r="897" spans="1:9" hidden="1" x14ac:dyDescent="0.25">
      <c r="A897" s="53">
        <v>1</v>
      </c>
      <c r="B897" s="53"/>
      <c r="C897" s="53">
        <v>1</v>
      </c>
      <c r="D897" s="516"/>
      <c r="E897" s="422"/>
      <c r="F897" s="423"/>
      <c r="G897" s="424"/>
      <c r="H897" s="424"/>
      <c r="I897" s="424"/>
    </row>
    <row r="898" spans="1:9" ht="29.25" hidden="1" x14ac:dyDescent="0.25">
      <c r="A898" s="53">
        <v>1</v>
      </c>
      <c r="B898" s="109" t="s">
        <v>254</v>
      </c>
      <c r="C898" s="53">
        <v>1</v>
      </c>
      <c r="D898" s="674" t="s">
        <v>396</v>
      </c>
      <c r="E898" s="68"/>
      <c r="F898" s="55"/>
      <c r="G898" s="2"/>
      <c r="H898" s="2"/>
      <c r="I898" s="2"/>
    </row>
    <row r="899" spans="1:9" hidden="1" x14ac:dyDescent="0.25">
      <c r="A899" s="53">
        <v>1</v>
      </c>
      <c r="B899" s="109" t="s">
        <v>254</v>
      </c>
      <c r="C899" s="53">
        <v>1</v>
      </c>
      <c r="D899" s="73" t="s">
        <v>108</v>
      </c>
      <c r="E899" s="13"/>
      <c r="F899" s="55"/>
      <c r="G899" s="2"/>
      <c r="H899" s="2"/>
      <c r="I899" s="2"/>
    </row>
    <row r="900" spans="1:9" hidden="1" x14ac:dyDescent="0.25">
      <c r="A900" s="53"/>
      <c r="B900" s="109" t="s">
        <v>254</v>
      </c>
      <c r="C900" s="53">
        <v>1</v>
      </c>
      <c r="D900" s="12" t="s">
        <v>96</v>
      </c>
      <c r="E900" s="13"/>
      <c r="F900" s="55"/>
      <c r="G900" s="2"/>
      <c r="H900" s="2"/>
      <c r="I900" s="2"/>
    </row>
    <row r="901" spans="1:9" hidden="1" x14ac:dyDescent="0.25">
      <c r="A901" s="53"/>
      <c r="B901" s="109" t="s">
        <v>254</v>
      </c>
      <c r="C901" s="53">
        <v>1</v>
      </c>
      <c r="D901" s="14" t="s">
        <v>296</v>
      </c>
      <c r="E901" s="13"/>
      <c r="F901" s="55">
        <f>F902</f>
        <v>3139</v>
      </c>
      <c r="G901" s="2"/>
      <c r="H901" s="2"/>
      <c r="I901" s="2"/>
    </row>
    <row r="902" spans="1:9" ht="30" hidden="1" x14ac:dyDescent="0.25">
      <c r="A902" s="53"/>
      <c r="B902" s="109" t="s">
        <v>254</v>
      </c>
      <c r="C902" s="53">
        <v>1</v>
      </c>
      <c r="D902" s="266" t="s">
        <v>298</v>
      </c>
      <c r="E902" s="13"/>
      <c r="F902" s="55">
        <f>F903/4</f>
        <v>3139</v>
      </c>
      <c r="G902" s="2"/>
      <c r="H902" s="2"/>
      <c r="I902" s="2"/>
    </row>
    <row r="903" spans="1:9" ht="30" hidden="1" x14ac:dyDescent="0.25">
      <c r="A903" s="53"/>
      <c r="B903" s="109" t="s">
        <v>254</v>
      </c>
      <c r="C903" s="53">
        <v>1</v>
      </c>
      <c r="D903" s="15" t="s">
        <v>300</v>
      </c>
      <c r="E903" s="13"/>
      <c r="F903" s="55">
        <v>12556</v>
      </c>
      <c r="G903" s="2"/>
      <c r="H903" s="2"/>
      <c r="I903" s="2"/>
    </row>
    <row r="904" spans="1:9" hidden="1" x14ac:dyDescent="0.25">
      <c r="A904" s="53"/>
      <c r="B904" s="109" t="s">
        <v>254</v>
      </c>
      <c r="C904" s="53">
        <v>1</v>
      </c>
      <c r="D904" s="14" t="s">
        <v>303</v>
      </c>
      <c r="E904" s="13"/>
      <c r="F904" s="55">
        <f>(F906+F907)/9.4</f>
        <v>43355.319148936171</v>
      </c>
      <c r="G904" s="2"/>
      <c r="H904" s="2"/>
      <c r="I904" s="2"/>
    </row>
    <row r="905" spans="1:9" hidden="1" x14ac:dyDescent="0.25">
      <c r="A905" s="53"/>
      <c r="B905" s="109" t="s">
        <v>254</v>
      </c>
      <c r="C905" s="53">
        <v>1</v>
      </c>
      <c r="D905" s="15" t="s">
        <v>305</v>
      </c>
      <c r="E905" s="13"/>
      <c r="F905" s="55">
        <f>(F906+F907)/9.4</f>
        <v>43355.319148936171</v>
      </c>
      <c r="G905" s="2"/>
      <c r="H905" s="2"/>
      <c r="I905" s="2"/>
    </row>
    <row r="906" spans="1:9" hidden="1" x14ac:dyDescent="0.25">
      <c r="A906" s="53"/>
      <c r="B906" s="109" t="s">
        <v>254</v>
      </c>
      <c r="C906" s="53">
        <v>1</v>
      </c>
      <c r="D906" s="42" t="s">
        <v>314</v>
      </c>
      <c r="E906" s="13"/>
      <c r="F906" s="55">
        <v>407540</v>
      </c>
      <c r="G906" s="2"/>
      <c r="H906" s="2"/>
      <c r="I906" s="2"/>
    </row>
    <row r="907" spans="1:9" hidden="1" x14ac:dyDescent="0.25">
      <c r="A907" s="53">
        <v>1</v>
      </c>
      <c r="B907" s="109" t="s">
        <v>254</v>
      </c>
      <c r="C907" s="53">
        <v>1</v>
      </c>
      <c r="D907" s="42" t="s">
        <v>317</v>
      </c>
      <c r="E907" s="13"/>
      <c r="F907" s="55"/>
      <c r="G907" s="2"/>
      <c r="H907" s="2"/>
      <c r="I907" s="2"/>
    </row>
    <row r="908" spans="1:9" hidden="1" x14ac:dyDescent="0.25">
      <c r="A908" s="53">
        <v>1</v>
      </c>
      <c r="B908" s="109" t="s">
        <v>254</v>
      </c>
      <c r="C908" s="53">
        <v>1</v>
      </c>
      <c r="D908" s="21" t="s">
        <v>198</v>
      </c>
      <c r="E908" s="24"/>
      <c r="F908" s="398">
        <f>F901</f>
        <v>3139</v>
      </c>
      <c r="G908" s="24"/>
      <c r="H908" s="24"/>
      <c r="I908" s="24"/>
    </row>
    <row r="909" spans="1:9" hidden="1" x14ac:dyDescent="0.25">
      <c r="A909" s="53">
        <v>1</v>
      </c>
      <c r="B909" s="109" t="s">
        <v>254</v>
      </c>
      <c r="C909" s="53">
        <v>1</v>
      </c>
      <c r="D909" s="21" t="s">
        <v>200</v>
      </c>
      <c r="E909" s="13"/>
      <c r="F909" s="398">
        <f>F904</f>
        <v>43355.319148936171</v>
      </c>
      <c r="G909" s="2"/>
      <c r="H909" s="2"/>
      <c r="I909" s="2"/>
    </row>
    <row r="910" spans="1:9" hidden="1" x14ac:dyDescent="0.25">
      <c r="A910" s="53">
        <v>1</v>
      </c>
      <c r="B910" s="109" t="s">
        <v>254</v>
      </c>
      <c r="C910" s="53">
        <v>1</v>
      </c>
      <c r="D910" s="22" t="s">
        <v>109</v>
      </c>
      <c r="E910" s="13"/>
      <c r="F910" s="398">
        <f>F901+F906/4.2+F907/4.2</f>
        <v>100172.33333333333</v>
      </c>
      <c r="G910" s="2"/>
      <c r="H910" s="2"/>
      <c r="I910" s="2"/>
    </row>
    <row r="911" spans="1:9" ht="15.75" hidden="1" thickBot="1" x14ac:dyDescent="0.3">
      <c r="A911" s="53">
        <v>1</v>
      </c>
      <c r="B911" s="109" t="s">
        <v>254</v>
      </c>
      <c r="C911" s="53">
        <v>1</v>
      </c>
      <c r="D911" s="417" t="s">
        <v>220</v>
      </c>
      <c r="E911" s="418"/>
      <c r="F911" s="494"/>
      <c r="G911" s="418"/>
      <c r="H911" s="418"/>
      <c r="I911" s="418"/>
    </row>
    <row r="912" spans="1:9" hidden="1" x14ac:dyDescent="0.25">
      <c r="A912" s="53">
        <v>1</v>
      </c>
      <c r="B912" s="53"/>
      <c r="C912" s="53">
        <v>1</v>
      </c>
      <c r="D912" s="487"/>
      <c r="E912" s="422"/>
      <c r="F912" s="423"/>
      <c r="G912" s="424"/>
      <c r="H912" s="424"/>
      <c r="I912" s="424"/>
    </row>
    <row r="913" spans="1:9" ht="29.25" hidden="1" x14ac:dyDescent="0.25">
      <c r="A913" s="53">
        <v>1</v>
      </c>
      <c r="B913" s="109" t="s">
        <v>255</v>
      </c>
      <c r="C913" s="53">
        <v>1</v>
      </c>
      <c r="D913" s="674" t="s">
        <v>397</v>
      </c>
      <c r="E913" s="68"/>
      <c r="F913" s="55"/>
      <c r="G913" s="2"/>
      <c r="H913" s="2"/>
      <c r="I913" s="2"/>
    </row>
    <row r="914" spans="1:9" hidden="1" x14ac:dyDescent="0.25">
      <c r="A914" s="53">
        <v>1</v>
      </c>
      <c r="B914" s="109" t="s">
        <v>255</v>
      </c>
      <c r="C914" s="53">
        <v>1</v>
      </c>
      <c r="D914" s="73" t="s">
        <v>6</v>
      </c>
      <c r="E914" s="13"/>
      <c r="F914" s="55"/>
      <c r="G914" s="2"/>
      <c r="H914" s="2"/>
      <c r="I914" s="2"/>
    </row>
    <row r="915" spans="1:9" hidden="1" x14ac:dyDescent="0.25">
      <c r="A915" s="53"/>
      <c r="B915" s="109" t="s">
        <v>255</v>
      </c>
      <c r="C915" s="53">
        <v>1</v>
      </c>
      <c r="D915" s="12" t="s">
        <v>96</v>
      </c>
      <c r="E915" s="13"/>
      <c r="F915" s="55"/>
      <c r="G915" s="2"/>
      <c r="H915" s="2"/>
      <c r="I915" s="2"/>
    </row>
    <row r="916" spans="1:9" hidden="1" x14ac:dyDescent="0.25">
      <c r="A916" s="53"/>
      <c r="B916" s="109" t="s">
        <v>255</v>
      </c>
      <c r="C916" s="53">
        <v>1</v>
      </c>
      <c r="D916" s="14" t="s">
        <v>296</v>
      </c>
      <c r="E916" s="13"/>
      <c r="F916" s="55">
        <f>F917</f>
        <v>12120</v>
      </c>
      <c r="G916" s="2"/>
      <c r="H916" s="2"/>
      <c r="I916" s="2"/>
    </row>
    <row r="917" spans="1:9" ht="30" hidden="1" x14ac:dyDescent="0.25">
      <c r="A917" s="53"/>
      <c r="B917" s="109" t="s">
        <v>255</v>
      </c>
      <c r="C917" s="53">
        <v>1</v>
      </c>
      <c r="D917" s="266" t="s">
        <v>298</v>
      </c>
      <c r="E917" s="13"/>
      <c r="F917" s="55">
        <f>F918/4</f>
        <v>12120</v>
      </c>
      <c r="G917" s="2"/>
      <c r="H917" s="2"/>
      <c r="I917" s="2"/>
    </row>
    <row r="918" spans="1:9" ht="30" hidden="1" x14ac:dyDescent="0.25">
      <c r="A918" s="53"/>
      <c r="B918" s="109" t="s">
        <v>255</v>
      </c>
      <c r="C918" s="53">
        <v>1</v>
      </c>
      <c r="D918" s="15" t="s">
        <v>300</v>
      </c>
      <c r="E918" s="13"/>
      <c r="F918" s="55">
        <v>48480</v>
      </c>
      <c r="G918" s="2"/>
      <c r="H918" s="2"/>
      <c r="I918" s="2"/>
    </row>
    <row r="919" spans="1:9" hidden="1" x14ac:dyDescent="0.25">
      <c r="A919" s="53"/>
      <c r="B919" s="109" t="s">
        <v>255</v>
      </c>
      <c r="C919" s="53">
        <v>1</v>
      </c>
      <c r="D919" s="14" t="s">
        <v>303</v>
      </c>
      <c r="E919" s="13"/>
      <c r="F919" s="55">
        <f>F920</f>
        <v>29320</v>
      </c>
      <c r="G919" s="2"/>
      <c r="H919" s="2"/>
      <c r="I919" s="2"/>
    </row>
    <row r="920" spans="1:9" hidden="1" x14ac:dyDescent="0.25">
      <c r="A920" s="53"/>
      <c r="B920" s="109" t="s">
        <v>255</v>
      </c>
      <c r="C920" s="53">
        <v>1</v>
      </c>
      <c r="D920" s="15" t="s">
        <v>305</v>
      </c>
      <c r="E920" s="13"/>
      <c r="F920" s="55">
        <f>F921/9.4+F922/9.4</f>
        <v>29320</v>
      </c>
      <c r="G920" s="2"/>
      <c r="H920" s="2"/>
      <c r="I920" s="2"/>
    </row>
    <row r="921" spans="1:9" hidden="1" x14ac:dyDescent="0.25">
      <c r="A921" s="53"/>
      <c r="B921" s="109" t="s">
        <v>255</v>
      </c>
      <c r="C921" s="53">
        <v>1</v>
      </c>
      <c r="D921" s="42" t="s">
        <v>314</v>
      </c>
      <c r="E921" s="13"/>
      <c r="F921" s="55">
        <v>270108</v>
      </c>
      <c r="G921" s="2"/>
      <c r="H921" s="2"/>
      <c r="I921" s="2"/>
    </row>
    <row r="922" spans="1:9" hidden="1" x14ac:dyDescent="0.25">
      <c r="A922" s="53">
        <v>1</v>
      </c>
      <c r="B922" s="109" t="s">
        <v>255</v>
      </c>
      <c r="C922" s="53">
        <v>1</v>
      </c>
      <c r="D922" s="42" t="s">
        <v>317</v>
      </c>
      <c r="E922" s="13"/>
      <c r="F922" s="55">
        <v>5500</v>
      </c>
      <c r="G922" s="2"/>
      <c r="H922" s="2"/>
      <c r="I922" s="2"/>
    </row>
    <row r="923" spans="1:9" hidden="1" x14ac:dyDescent="0.25">
      <c r="A923" s="53">
        <v>1</v>
      </c>
      <c r="B923" s="109" t="s">
        <v>255</v>
      </c>
      <c r="C923" s="53">
        <v>1</v>
      </c>
      <c r="D923" s="21" t="s">
        <v>198</v>
      </c>
      <c r="E923" s="24"/>
      <c r="F923" s="398">
        <f>F916</f>
        <v>12120</v>
      </c>
      <c r="G923" s="24"/>
      <c r="H923" s="24"/>
      <c r="I923" s="24"/>
    </row>
    <row r="924" spans="1:9" hidden="1" x14ac:dyDescent="0.25">
      <c r="A924" s="53">
        <v>1</v>
      </c>
      <c r="B924" s="109" t="s">
        <v>255</v>
      </c>
      <c r="C924" s="53">
        <v>1</v>
      </c>
      <c r="D924" s="21" t="s">
        <v>200</v>
      </c>
      <c r="E924" s="13"/>
      <c r="F924" s="398">
        <f>F919</f>
        <v>29320</v>
      </c>
      <c r="G924" s="2"/>
      <c r="H924" s="2"/>
      <c r="I924" s="2"/>
    </row>
    <row r="925" spans="1:9" hidden="1" x14ac:dyDescent="0.25">
      <c r="A925" s="53">
        <v>1</v>
      </c>
      <c r="B925" s="109" t="s">
        <v>255</v>
      </c>
      <c r="C925" s="53">
        <v>1</v>
      </c>
      <c r="D925" s="22" t="s">
        <v>109</v>
      </c>
      <c r="E925" s="13"/>
      <c r="F925" s="398">
        <f>F923+(F921+F922)/4.2</f>
        <v>77740.952380952382</v>
      </c>
      <c r="G925" s="2"/>
      <c r="H925" s="2"/>
      <c r="I925" s="2"/>
    </row>
    <row r="926" spans="1:9" ht="15.75" hidden="1" thickBot="1" x14ac:dyDescent="0.3">
      <c r="A926" s="53">
        <v>1</v>
      </c>
      <c r="B926" s="109" t="s">
        <v>255</v>
      </c>
      <c r="C926" s="53">
        <v>1</v>
      </c>
      <c r="D926" s="417" t="s">
        <v>220</v>
      </c>
      <c r="E926" s="418"/>
      <c r="F926" s="494"/>
      <c r="G926" s="418"/>
      <c r="H926" s="418"/>
      <c r="I926" s="418"/>
    </row>
    <row r="927" spans="1:9" ht="15.75" hidden="1" thickBot="1" x14ac:dyDescent="0.3">
      <c r="A927" s="53">
        <v>1</v>
      </c>
      <c r="B927" s="53"/>
      <c r="C927" s="53">
        <v>1</v>
      </c>
      <c r="D927" s="487"/>
      <c r="E927" s="422"/>
      <c r="F927" s="423"/>
      <c r="G927" s="424"/>
      <c r="H927" s="424"/>
      <c r="I927" s="424"/>
    </row>
    <row r="928" spans="1:9" hidden="1" x14ac:dyDescent="0.25">
      <c r="A928" s="53">
        <v>1</v>
      </c>
      <c r="B928" s="53"/>
      <c r="C928" s="53">
        <v>1</v>
      </c>
      <c r="D928" s="517"/>
      <c r="E928" s="488"/>
      <c r="F928" s="423"/>
      <c r="G928" s="424"/>
      <c r="H928" s="424"/>
      <c r="I928" s="424"/>
    </row>
    <row r="929" spans="1:10" ht="43.5" hidden="1" x14ac:dyDescent="0.25">
      <c r="A929" s="53">
        <v>1</v>
      </c>
      <c r="B929" s="109" t="s">
        <v>256</v>
      </c>
      <c r="C929" s="53">
        <v>1</v>
      </c>
      <c r="D929" s="674" t="s">
        <v>398</v>
      </c>
      <c r="E929" s="54"/>
      <c r="F929" s="55"/>
      <c r="G929" s="2"/>
      <c r="H929" s="2"/>
      <c r="I929" s="2"/>
    </row>
    <row r="930" spans="1:10" hidden="1" x14ac:dyDescent="0.25">
      <c r="A930" s="53">
        <v>1</v>
      </c>
      <c r="B930" s="109" t="s">
        <v>256</v>
      </c>
      <c r="C930" s="53">
        <v>1</v>
      </c>
      <c r="D930" s="73" t="s">
        <v>108</v>
      </c>
      <c r="E930" s="13"/>
      <c r="F930" s="55"/>
      <c r="G930" s="2"/>
      <c r="H930" s="2"/>
      <c r="I930" s="2"/>
    </row>
    <row r="931" spans="1:10" hidden="1" x14ac:dyDescent="0.25">
      <c r="A931" s="53"/>
      <c r="B931" s="109" t="s">
        <v>256</v>
      </c>
      <c r="C931" s="53">
        <v>1</v>
      </c>
      <c r="D931" s="12" t="s">
        <v>96</v>
      </c>
      <c r="E931" s="13"/>
      <c r="F931" s="55"/>
      <c r="G931" s="2"/>
      <c r="H931" s="2"/>
      <c r="I931" s="2"/>
    </row>
    <row r="932" spans="1:10" hidden="1" x14ac:dyDescent="0.25">
      <c r="A932" s="53"/>
      <c r="B932" s="109" t="s">
        <v>256</v>
      </c>
      <c r="C932" s="53">
        <v>1</v>
      </c>
      <c r="D932" s="14" t="s">
        <v>296</v>
      </c>
      <c r="E932" s="13"/>
      <c r="F932" s="398">
        <f>F933</f>
        <v>2500</v>
      </c>
      <c r="G932" s="2"/>
      <c r="H932" s="2"/>
      <c r="I932" s="2"/>
    </row>
    <row r="933" spans="1:10" ht="30" hidden="1" x14ac:dyDescent="0.25">
      <c r="A933" s="53"/>
      <c r="B933" s="109" t="s">
        <v>256</v>
      </c>
      <c r="C933" s="53">
        <v>1</v>
      </c>
      <c r="D933" s="266" t="s">
        <v>298</v>
      </c>
      <c r="E933" s="13"/>
      <c r="F933" s="55">
        <f>F934/4</f>
        <v>2500</v>
      </c>
      <c r="G933" s="2"/>
      <c r="H933" s="2"/>
      <c r="I933" s="2"/>
    </row>
    <row r="934" spans="1:10" ht="30" hidden="1" x14ac:dyDescent="0.25">
      <c r="A934" s="53"/>
      <c r="B934" s="109" t="s">
        <v>256</v>
      </c>
      <c r="C934" s="53">
        <v>1</v>
      </c>
      <c r="D934" s="15" t="s">
        <v>300</v>
      </c>
      <c r="E934" s="13"/>
      <c r="F934" s="55">
        <v>10000</v>
      </c>
      <c r="G934" s="2"/>
      <c r="H934" s="2"/>
      <c r="I934" s="2"/>
    </row>
    <row r="935" spans="1:10" hidden="1" x14ac:dyDescent="0.25">
      <c r="A935" s="53">
        <v>1</v>
      </c>
      <c r="B935" s="109" t="s">
        <v>256</v>
      </c>
      <c r="C935" s="53">
        <v>1</v>
      </c>
      <c r="D935" s="14" t="s">
        <v>303</v>
      </c>
      <c r="E935" s="13"/>
      <c r="F935" s="55">
        <f>F936</f>
        <v>33970</v>
      </c>
      <c r="G935" s="2"/>
      <c r="H935" s="2"/>
      <c r="I935" s="2"/>
    </row>
    <row r="936" spans="1:10" hidden="1" x14ac:dyDescent="0.25">
      <c r="A936" s="53"/>
      <c r="B936" s="109" t="s">
        <v>256</v>
      </c>
      <c r="C936" s="53">
        <v>1</v>
      </c>
      <c r="D936" s="15" t="s">
        <v>305</v>
      </c>
      <c r="E936" s="13"/>
      <c r="F936" s="398">
        <f>F937/9.4+F938/9.4</f>
        <v>33970</v>
      </c>
      <c r="G936" s="2"/>
      <c r="H936" s="2"/>
      <c r="I936" s="2"/>
    </row>
    <row r="937" spans="1:10" hidden="1" x14ac:dyDescent="0.25">
      <c r="A937" s="53">
        <v>1</v>
      </c>
      <c r="B937" s="109" t="s">
        <v>256</v>
      </c>
      <c r="C937" s="53">
        <v>1</v>
      </c>
      <c r="D937" s="42" t="s">
        <v>314</v>
      </c>
      <c r="E937" s="24"/>
      <c r="F937" s="55">
        <v>315818</v>
      </c>
      <c r="G937" s="24"/>
      <c r="H937" s="24"/>
      <c r="I937" s="24"/>
    </row>
    <row r="938" spans="1:10" hidden="1" x14ac:dyDescent="0.25">
      <c r="A938" s="53">
        <v>1</v>
      </c>
      <c r="B938" s="109" t="s">
        <v>256</v>
      </c>
      <c r="C938" s="53">
        <v>1</v>
      </c>
      <c r="D938" s="42" t="s">
        <v>317</v>
      </c>
      <c r="E938" s="13"/>
      <c r="F938" s="55">
        <v>3500</v>
      </c>
      <c r="G938" s="2"/>
      <c r="H938" s="2"/>
      <c r="I938" s="2"/>
    </row>
    <row r="939" spans="1:10" hidden="1" x14ac:dyDescent="0.25">
      <c r="A939" s="53">
        <v>1</v>
      </c>
      <c r="B939" s="109" t="s">
        <v>256</v>
      </c>
      <c r="C939" s="53">
        <v>1</v>
      </c>
      <c r="D939" s="21" t="s">
        <v>198</v>
      </c>
      <c r="E939" s="13"/>
      <c r="F939" s="398">
        <f>F932</f>
        <v>2500</v>
      </c>
      <c r="G939" s="2"/>
      <c r="H939" s="2"/>
      <c r="I939" s="2"/>
    </row>
    <row r="940" spans="1:10" hidden="1" x14ac:dyDescent="0.25">
      <c r="A940" s="53">
        <v>1</v>
      </c>
      <c r="B940" s="109" t="s">
        <v>256</v>
      </c>
      <c r="C940" s="53">
        <v>1</v>
      </c>
      <c r="D940" s="21" t="s">
        <v>200</v>
      </c>
      <c r="E940" s="13"/>
      <c r="F940" s="398">
        <f>F935</f>
        <v>33970</v>
      </c>
      <c r="G940" s="2"/>
      <c r="H940" s="2"/>
      <c r="I940" s="2"/>
    </row>
    <row r="941" spans="1:10" hidden="1" x14ac:dyDescent="0.25">
      <c r="A941" s="53">
        <v>1</v>
      </c>
      <c r="B941" s="109" t="s">
        <v>256</v>
      </c>
      <c r="C941" s="53">
        <v>1</v>
      </c>
      <c r="D941" s="22" t="s">
        <v>109</v>
      </c>
      <c r="E941" s="13"/>
      <c r="F941" s="398">
        <f>F939+(F937+F938)/4.2</f>
        <v>78528.095238095237</v>
      </c>
      <c r="G941" s="2"/>
      <c r="H941" s="2"/>
      <c r="I941" s="2"/>
    </row>
    <row r="942" spans="1:10" ht="15.75" hidden="1" thickBot="1" x14ac:dyDescent="0.3">
      <c r="A942" s="53">
        <v>1</v>
      </c>
      <c r="B942" s="109" t="s">
        <v>256</v>
      </c>
      <c r="C942" s="53">
        <v>1</v>
      </c>
      <c r="D942" s="448" t="s">
        <v>220</v>
      </c>
      <c r="E942" s="449"/>
      <c r="F942" s="518"/>
      <c r="G942" s="519"/>
      <c r="H942" s="519"/>
      <c r="I942" s="519"/>
    </row>
    <row r="943" spans="1:10" ht="29.25" hidden="1" x14ac:dyDescent="0.25">
      <c r="A943" s="53">
        <v>1</v>
      </c>
      <c r="B943" s="109" t="s">
        <v>257</v>
      </c>
      <c r="C943" s="53">
        <v>1</v>
      </c>
      <c r="D943" s="674" t="s">
        <v>399</v>
      </c>
      <c r="E943" s="452"/>
      <c r="F943" s="55"/>
      <c r="G943" s="2"/>
      <c r="H943" s="2"/>
      <c r="I943" s="2"/>
    </row>
    <row r="944" spans="1:10" s="58" customFormat="1" ht="48.75" hidden="1" customHeight="1" x14ac:dyDescent="0.25">
      <c r="A944" s="53">
        <v>1</v>
      </c>
      <c r="B944" s="109" t="s">
        <v>257</v>
      </c>
      <c r="C944" s="53">
        <v>1</v>
      </c>
      <c r="D944" s="101" t="s">
        <v>294</v>
      </c>
      <c r="E944" s="12"/>
      <c r="F944" s="429"/>
      <c r="G944" s="57"/>
      <c r="H944" s="57"/>
      <c r="I944" s="57"/>
      <c r="J944" s="430"/>
    </row>
    <row r="945" spans="1:10" s="58" customFormat="1" hidden="1" x14ac:dyDescent="0.25">
      <c r="A945" s="53"/>
      <c r="B945" s="109" t="s">
        <v>257</v>
      </c>
      <c r="C945" s="53">
        <v>1</v>
      </c>
      <c r="D945" s="14" t="s">
        <v>187</v>
      </c>
      <c r="E945" s="12"/>
      <c r="F945" s="429">
        <f>F947+F948+F950</f>
        <v>27000</v>
      </c>
      <c r="G945" s="57"/>
      <c r="H945" s="57"/>
      <c r="I945" s="57"/>
      <c r="J945" s="430"/>
    </row>
    <row r="946" spans="1:10" s="58" customFormat="1" hidden="1" x14ac:dyDescent="0.25">
      <c r="A946" s="53"/>
      <c r="B946" s="109" t="s">
        <v>257</v>
      </c>
      <c r="C946" s="53">
        <v>1</v>
      </c>
      <c r="D946" s="18" t="s">
        <v>113</v>
      </c>
      <c r="E946" s="12"/>
      <c r="F946" s="429"/>
      <c r="G946" s="57"/>
      <c r="H946" s="57"/>
      <c r="I946" s="57"/>
      <c r="J946" s="430"/>
    </row>
    <row r="947" spans="1:10" s="58" customFormat="1" ht="30" hidden="1" x14ac:dyDescent="0.25">
      <c r="A947" s="53"/>
      <c r="B947" s="109" t="s">
        <v>257</v>
      </c>
      <c r="C947" s="53">
        <v>1</v>
      </c>
      <c r="D947" s="18" t="s">
        <v>114</v>
      </c>
      <c r="E947" s="12"/>
      <c r="F947" s="59">
        <v>2000</v>
      </c>
      <c r="G947" s="57"/>
      <c r="H947" s="57"/>
      <c r="I947" s="57"/>
      <c r="J947" s="430"/>
    </row>
    <row r="948" spans="1:10" s="58" customFormat="1" ht="30" hidden="1" x14ac:dyDescent="0.25">
      <c r="A948" s="53"/>
      <c r="B948" s="109" t="s">
        <v>257</v>
      </c>
      <c r="C948" s="53">
        <v>1</v>
      </c>
      <c r="D948" s="15" t="s">
        <v>361</v>
      </c>
      <c r="E948" s="12"/>
      <c r="F948" s="59">
        <v>12000</v>
      </c>
      <c r="G948" s="57"/>
      <c r="H948" s="57"/>
      <c r="I948" s="57"/>
      <c r="J948" s="430"/>
    </row>
    <row r="949" spans="1:10" s="58" customFormat="1" ht="45" hidden="1" x14ac:dyDescent="0.25">
      <c r="A949" s="53"/>
      <c r="B949" s="109" t="s">
        <v>257</v>
      </c>
      <c r="C949" s="53">
        <v>1</v>
      </c>
      <c r="D949" s="15" t="s">
        <v>219</v>
      </c>
      <c r="E949" s="12"/>
      <c r="F949" s="429"/>
      <c r="G949" s="57"/>
      <c r="H949" s="57"/>
      <c r="I949" s="57"/>
      <c r="J949" s="430"/>
    </row>
    <row r="950" spans="1:10" s="58" customFormat="1" ht="45" hidden="1" x14ac:dyDescent="0.25">
      <c r="A950" s="53"/>
      <c r="B950" s="109" t="s">
        <v>257</v>
      </c>
      <c r="C950" s="53">
        <v>1</v>
      </c>
      <c r="D950" s="15" t="s">
        <v>188</v>
      </c>
      <c r="E950" s="12"/>
      <c r="F950" s="59">
        <v>13000</v>
      </c>
      <c r="G950" s="57"/>
      <c r="H950" s="57"/>
      <c r="I950" s="57"/>
      <c r="J950" s="430"/>
    </row>
    <row r="951" spans="1:10" s="58" customFormat="1" ht="75" hidden="1" x14ac:dyDescent="0.25">
      <c r="A951" s="53"/>
      <c r="B951" s="109"/>
      <c r="C951" s="53">
        <v>1</v>
      </c>
      <c r="D951" s="15" t="s">
        <v>353</v>
      </c>
      <c r="E951" s="12"/>
      <c r="F951" s="59">
        <v>900</v>
      </c>
      <c r="G951" s="57"/>
      <c r="H951" s="57"/>
      <c r="I951" s="57"/>
      <c r="J951" s="430"/>
    </row>
    <row r="952" spans="1:10" s="58" customFormat="1" hidden="1" x14ac:dyDescent="0.25">
      <c r="A952" s="53"/>
      <c r="B952" s="109" t="s">
        <v>257</v>
      </c>
      <c r="C952" s="53">
        <v>1</v>
      </c>
      <c r="D952" s="60" t="s">
        <v>88</v>
      </c>
      <c r="E952" s="12"/>
      <c r="F952" s="429">
        <f>F953</f>
        <v>35000</v>
      </c>
      <c r="G952" s="57"/>
      <c r="H952" s="57"/>
      <c r="I952" s="57"/>
      <c r="J952" s="430"/>
    </row>
    <row r="953" spans="1:10" s="58" customFormat="1" hidden="1" x14ac:dyDescent="0.25">
      <c r="A953" s="53"/>
      <c r="B953" s="109" t="s">
        <v>257</v>
      </c>
      <c r="C953" s="53">
        <v>1</v>
      </c>
      <c r="D953" s="19" t="s">
        <v>145</v>
      </c>
      <c r="E953" s="12"/>
      <c r="F953" s="59">
        <v>35000</v>
      </c>
      <c r="G953" s="57"/>
      <c r="H953" s="57"/>
      <c r="I953" s="57"/>
      <c r="J953" s="430"/>
    </row>
    <row r="954" spans="1:10" s="58" customFormat="1" ht="47.25" hidden="1" x14ac:dyDescent="0.25">
      <c r="A954" s="53"/>
      <c r="B954" s="109" t="s">
        <v>257</v>
      </c>
      <c r="C954" s="53">
        <v>1</v>
      </c>
      <c r="D954" s="61" t="s">
        <v>292</v>
      </c>
      <c r="E954" s="12"/>
      <c r="F954" s="429">
        <f>F955+F960</f>
        <v>21690</v>
      </c>
      <c r="G954" s="57"/>
      <c r="H954" s="57"/>
      <c r="I954" s="57"/>
      <c r="J954" s="430"/>
    </row>
    <row r="955" spans="1:10" s="58" customFormat="1" ht="16.5" hidden="1" customHeight="1" x14ac:dyDescent="0.25">
      <c r="A955" s="53">
        <v>1</v>
      </c>
      <c r="B955" s="109" t="s">
        <v>257</v>
      </c>
      <c r="C955" s="53">
        <v>1</v>
      </c>
      <c r="D955" s="16" t="s">
        <v>189</v>
      </c>
      <c r="E955" s="62"/>
      <c r="F955" s="432">
        <f>SUM(F956:F959)</f>
        <v>190</v>
      </c>
      <c r="G955" s="57"/>
      <c r="H955" s="57"/>
      <c r="I955" s="57"/>
      <c r="J955" s="430"/>
    </row>
    <row r="956" spans="1:10" s="58" customFormat="1" ht="15.75" hidden="1" customHeight="1" x14ac:dyDescent="0.25">
      <c r="A956" s="53">
        <v>1</v>
      </c>
      <c r="B956" s="109" t="s">
        <v>257</v>
      </c>
      <c r="C956" s="53">
        <v>1</v>
      </c>
      <c r="D956" s="15" t="s">
        <v>190</v>
      </c>
      <c r="E956" s="62"/>
      <c r="F956" s="63"/>
      <c r="G956" s="57"/>
      <c r="H956" s="57"/>
      <c r="I956" s="57"/>
      <c r="J956" s="430"/>
    </row>
    <row r="957" spans="1:10" s="58" customFormat="1" ht="45" hidden="1" x14ac:dyDescent="0.25">
      <c r="A957" s="53">
        <v>1</v>
      </c>
      <c r="B957" s="109" t="s">
        <v>257</v>
      </c>
      <c r="C957" s="53">
        <v>1</v>
      </c>
      <c r="D957" s="15" t="s">
        <v>191</v>
      </c>
      <c r="E957" s="62"/>
      <c r="F957" s="55"/>
      <c r="G957" s="57"/>
      <c r="H957" s="57"/>
      <c r="I957" s="57"/>
      <c r="J957" s="430"/>
    </row>
    <row r="958" spans="1:10" s="58" customFormat="1" ht="30" hidden="1" x14ac:dyDescent="0.25">
      <c r="A958" s="53">
        <v>1</v>
      </c>
      <c r="B958" s="109" t="s">
        <v>257</v>
      </c>
      <c r="C958" s="53">
        <v>1</v>
      </c>
      <c r="D958" s="15" t="s">
        <v>192</v>
      </c>
      <c r="E958" s="62"/>
      <c r="F958" s="55">
        <v>86</v>
      </c>
      <c r="G958" s="57"/>
      <c r="H958" s="57"/>
      <c r="I958" s="57"/>
      <c r="J958" s="430"/>
    </row>
    <row r="959" spans="1:10" s="58" customFormat="1" ht="30" hidden="1" x14ac:dyDescent="0.25">
      <c r="A959" s="53">
        <v>1</v>
      </c>
      <c r="B959" s="109" t="s">
        <v>257</v>
      </c>
      <c r="C959" s="53">
        <v>1</v>
      </c>
      <c r="D959" s="15" t="s">
        <v>193</v>
      </c>
      <c r="E959" s="62"/>
      <c r="F959" s="55">
        <v>104</v>
      </c>
      <c r="G959" s="57"/>
      <c r="H959" s="57"/>
      <c r="I959" s="57"/>
      <c r="J959" s="430"/>
    </row>
    <row r="960" spans="1:10" s="53" customFormat="1" ht="30" hidden="1" x14ac:dyDescent="0.25">
      <c r="A960" s="53">
        <v>1</v>
      </c>
      <c r="B960" s="109" t="s">
        <v>257</v>
      </c>
      <c r="C960" s="53">
        <v>1</v>
      </c>
      <c r="D960" s="16" t="s">
        <v>194</v>
      </c>
      <c r="E960" s="13"/>
      <c r="F960" s="398">
        <f>SUM(F961:F963)</f>
        <v>21500</v>
      </c>
      <c r="G960" s="2"/>
      <c r="H960" s="2"/>
      <c r="I960" s="2"/>
      <c r="J960" s="152"/>
    </row>
    <row r="961" spans="1:10" s="58" customFormat="1" ht="30" hidden="1" x14ac:dyDescent="0.25">
      <c r="A961" s="53">
        <v>1</v>
      </c>
      <c r="B961" s="109" t="s">
        <v>257</v>
      </c>
      <c r="C961" s="53">
        <v>1</v>
      </c>
      <c r="D961" s="15" t="s">
        <v>195</v>
      </c>
      <c r="E961" s="281"/>
      <c r="F961" s="55"/>
      <c r="G961" s="57"/>
      <c r="H961" s="57"/>
      <c r="I961" s="57"/>
      <c r="J961" s="430"/>
    </row>
    <row r="962" spans="1:10" s="58" customFormat="1" ht="45" hidden="1" x14ac:dyDescent="0.25">
      <c r="A962" s="53">
        <v>1</v>
      </c>
      <c r="B962" s="109" t="s">
        <v>257</v>
      </c>
      <c r="C962" s="53">
        <v>1</v>
      </c>
      <c r="D962" s="15" t="s">
        <v>196</v>
      </c>
      <c r="E962" s="64"/>
      <c r="F962" s="63">
        <v>16500</v>
      </c>
      <c r="G962" s="65"/>
      <c r="H962" s="65"/>
      <c r="I962" s="43"/>
      <c r="J962" s="430"/>
    </row>
    <row r="963" spans="1:10" s="58" customFormat="1" ht="45" hidden="1" x14ac:dyDescent="0.25">
      <c r="A963" s="53">
        <v>1</v>
      </c>
      <c r="B963" s="109" t="s">
        <v>257</v>
      </c>
      <c r="C963" s="53">
        <v>1</v>
      </c>
      <c r="D963" s="15" t="s">
        <v>197</v>
      </c>
      <c r="E963" s="13"/>
      <c r="F963" s="55">
        <v>5000</v>
      </c>
      <c r="G963" s="65"/>
      <c r="H963" s="65"/>
      <c r="I963" s="43"/>
      <c r="J963" s="430"/>
    </row>
    <row r="964" spans="1:10" s="58" customFormat="1" hidden="1" x14ac:dyDescent="0.25">
      <c r="A964" s="53"/>
      <c r="B964" s="109"/>
      <c r="C964" s="53">
        <v>1</v>
      </c>
      <c r="D964" s="12" t="s">
        <v>96</v>
      </c>
      <c r="E964" s="13"/>
      <c r="F964" s="55"/>
      <c r="G964" s="65"/>
      <c r="H964" s="65"/>
      <c r="I964" s="43"/>
      <c r="J964" s="430"/>
    </row>
    <row r="965" spans="1:10" s="58" customFormat="1" hidden="1" x14ac:dyDescent="0.25">
      <c r="A965" s="53">
        <v>1</v>
      </c>
      <c r="B965" s="109" t="s">
        <v>257</v>
      </c>
      <c r="C965" s="53">
        <v>1</v>
      </c>
      <c r="D965" s="14" t="s">
        <v>296</v>
      </c>
      <c r="E965" s="13"/>
      <c r="F965" s="55"/>
      <c r="G965" s="65"/>
      <c r="H965" s="65"/>
      <c r="I965" s="43"/>
      <c r="J965" s="52"/>
    </row>
    <row r="966" spans="1:10" s="58" customFormat="1" hidden="1" x14ac:dyDescent="0.25">
      <c r="A966" s="53">
        <v>1</v>
      </c>
      <c r="B966" s="109" t="s">
        <v>257</v>
      </c>
      <c r="C966" s="53">
        <v>1</v>
      </c>
      <c r="D966" s="15" t="s">
        <v>297</v>
      </c>
      <c r="E966" s="13"/>
      <c r="F966" s="55"/>
      <c r="G966" s="65"/>
      <c r="H966" s="65"/>
      <c r="I966" s="43"/>
      <c r="J966" s="52"/>
    </row>
    <row r="967" spans="1:10" s="58" customFormat="1" ht="30" hidden="1" x14ac:dyDescent="0.25">
      <c r="A967" s="53">
        <v>1</v>
      </c>
      <c r="B967" s="109" t="s">
        <v>257</v>
      </c>
      <c r="C967" s="53">
        <v>1</v>
      </c>
      <c r="D967" s="16" t="s">
        <v>298</v>
      </c>
      <c r="E967" s="13"/>
      <c r="F967" s="55"/>
      <c r="G967" s="65"/>
      <c r="H967" s="65"/>
      <c r="I967" s="43"/>
      <c r="J967" s="52"/>
    </row>
    <row r="968" spans="1:10" s="124" customFormat="1" hidden="1" x14ac:dyDescent="0.25">
      <c r="A968" s="104"/>
      <c r="B968" s="109" t="s">
        <v>257</v>
      </c>
      <c r="C968" s="53">
        <v>1</v>
      </c>
      <c r="D968" s="15" t="s">
        <v>299</v>
      </c>
      <c r="E968" s="13"/>
      <c r="F968" s="17"/>
      <c r="G968" s="10"/>
      <c r="H968" s="10"/>
      <c r="I968" s="10"/>
      <c r="J968" s="52"/>
    </row>
    <row r="969" spans="1:10" s="58" customFormat="1" ht="30" hidden="1" x14ac:dyDescent="0.25">
      <c r="A969" s="53">
        <v>1</v>
      </c>
      <c r="B969" s="109" t="s">
        <v>257</v>
      </c>
      <c r="C969" s="53">
        <v>1</v>
      </c>
      <c r="D969" s="15" t="s">
        <v>300</v>
      </c>
      <c r="E969" s="13"/>
      <c r="F969" s="63"/>
      <c r="G969" s="65"/>
      <c r="H969" s="65"/>
      <c r="I969" s="43"/>
      <c r="J969" s="52"/>
    </row>
    <row r="970" spans="1:10" s="58" customFormat="1" ht="45" hidden="1" x14ac:dyDescent="0.25">
      <c r="A970" s="53">
        <v>1</v>
      </c>
      <c r="B970" s="109" t="s">
        <v>257</v>
      </c>
      <c r="C970" s="53">
        <v>1</v>
      </c>
      <c r="D970" s="15" t="s">
        <v>301</v>
      </c>
      <c r="E970" s="13"/>
      <c r="F970" s="63"/>
      <c r="G970" s="65"/>
      <c r="H970" s="65"/>
      <c r="I970" s="43"/>
      <c r="J970" s="52"/>
    </row>
    <row r="971" spans="1:10" s="58" customFormat="1" ht="45" hidden="1" x14ac:dyDescent="0.25">
      <c r="A971" s="53">
        <v>1</v>
      </c>
      <c r="B971" s="109" t="s">
        <v>257</v>
      </c>
      <c r="C971" s="53">
        <v>1</v>
      </c>
      <c r="D971" s="15" t="s">
        <v>309</v>
      </c>
      <c r="E971" s="13"/>
      <c r="F971" s="63"/>
      <c r="G971" s="65"/>
      <c r="H971" s="65"/>
      <c r="I971" s="43"/>
      <c r="J971" s="52"/>
    </row>
    <row r="972" spans="1:10" s="58" customFormat="1" ht="45" hidden="1" x14ac:dyDescent="0.25">
      <c r="A972" s="53">
        <v>1</v>
      </c>
      <c r="B972" s="109" t="s">
        <v>257</v>
      </c>
      <c r="C972" s="53">
        <v>1</v>
      </c>
      <c r="D972" s="18" t="s">
        <v>310</v>
      </c>
      <c r="E972" s="13"/>
      <c r="F972" s="75"/>
      <c r="G972" s="65"/>
      <c r="H972" s="65"/>
      <c r="I972" s="43"/>
      <c r="J972" s="52"/>
    </row>
    <row r="973" spans="1:10" s="58" customFormat="1" hidden="1" x14ac:dyDescent="0.25">
      <c r="A973" s="53">
        <v>1</v>
      </c>
      <c r="B973" s="109" t="s">
        <v>257</v>
      </c>
      <c r="C973" s="53">
        <v>1</v>
      </c>
      <c r="D973" s="14" t="s">
        <v>303</v>
      </c>
      <c r="E973" s="13"/>
      <c r="F973" s="55"/>
      <c r="G973" s="65"/>
      <c r="H973" s="65"/>
      <c r="I973" s="43"/>
      <c r="J973" s="52"/>
    </row>
    <row r="974" spans="1:10" s="58" customFormat="1" hidden="1" x14ac:dyDescent="0.25">
      <c r="A974" s="53">
        <v>1</v>
      </c>
      <c r="B974" s="109" t="s">
        <v>257</v>
      </c>
      <c r="C974" s="53">
        <v>1</v>
      </c>
      <c r="D974" s="14" t="s">
        <v>304</v>
      </c>
      <c r="E974" s="13"/>
      <c r="F974" s="55"/>
      <c r="G974" s="65"/>
      <c r="H974" s="65"/>
      <c r="I974" s="43"/>
      <c r="J974" s="52"/>
    </row>
    <row r="975" spans="1:10" s="58" customFormat="1" hidden="1" x14ac:dyDescent="0.25">
      <c r="A975" s="53">
        <v>1</v>
      </c>
      <c r="B975" s="109" t="s">
        <v>257</v>
      </c>
      <c r="C975" s="53">
        <v>1</v>
      </c>
      <c r="D975" s="15" t="s">
        <v>305</v>
      </c>
      <c r="E975" s="13"/>
      <c r="F975" s="501"/>
      <c r="G975" s="65"/>
      <c r="H975" s="65"/>
      <c r="I975" s="43"/>
      <c r="J975" s="52"/>
    </row>
    <row r="976" spans="1:10" s="58" customFormat="1" hidden="1" x14ac:dyDescent="0.25">
      <c r="A976" s="53">
        <v>1</v>
      </c>
      <c r="B976" s="109" t="s">
        <v>257</v>
      </c>
      <c r="C976" s="53">
        <v>1</v>
      </c>
      <c r="D976" s="42" t="s">
        <v>314</v>
      </c>
      <c r="E976" s="13"/>
      <c r="F976" s="501"/>
      <c r="G976" s="65"/>
      <c r="H976" s="65"/>
      <c r="I976" s="43"/>
      <c r="J976" s="52"/>
    </row>
    <row r="977" spans="1:10" s="58" customFormat="1" ht="29.25" hidden="1" x14ac:dyDescent="0.25">
      <c r="A977" s="53">
        <v>1</v>
      </c>
      <c r="B977" s="109" t="s">
        <v>257</v>
      </c>
      <c r="C977" s="53">
        <v>1</v>
      </c>
      <c r="D977" s="14" t="s">
        <v>306</v>
      </c>
      <c r="E977" s="13"/>
      <c r="F977" s="501">
        <v>12860</v>
      </c>
      <c r="G977" s="65"/>
      <c r="H977" s="65"/>
      <c r="I977" s="43"/>
      <c r="J977" s="52"/>
    </row>
    <row r="978" spans="1:10" s="58" customFormat="1" hidden="1" x14ac:dyDescent="0.25">
      <c r="A978" s="53">
        <v>1</v>
      </c>
      <c r="B978" s="109" t="s">
        <v>257</v>
      </c>
      <c r="C978" s="53">
        <v>1</v>
      </c>
      <c r="D978" s="19" t="s">
        <v>115</v>
      </c>
      <c r="E978" s="13"/>
      <c r="F978" s="501"/>
      <c r="G978" s="65"/>
      <c r="H978" s="65"/>
      <c r="I978" s="43"/>
      <c r="J978" s="52"/>
    </row>
    <row r="979" spans="1:10" s="58" customFormat="1" ht="57.75" hidden="1" x14ac:dyDescent="0.25">
      <c r="A979" s="53">
        <v>1</v>
      </c>
      <c r="B979" s="109" t="s">
        <v>257</v>
      </c>
      <c r="C979" s="53">
        <v>1</v>
      </c>
      <c r="D979" s="21" t="s">
        <v>312</v>
      </c>
      <c r="E979" s="13"/>
      <c r="F979" s="55"/>
      <c r="G979" s="65"/>
      <c r="H979" s="65"/>
      <c r="I979" s="43"/>
      <c r="J979" s="52"/>
    </row>
    <row r="980" spans="1:10" s="58" customFormat="1" hidden="1" x14ac:dyDescent="0.25">
      <c r="A980" s="53">
        <v>1</v>
      </c>
      <c r="B980" s="109" t="s">
        <v>257</v>
      </c>
      <c r="C980" s="53">
        <v>1</v>
      </c>
      <c r="D980" s="20" t="s">
        <v>158</v>
      </c>
      <c r="E980" s="13"/>
      <c r="F980" s="55">
        <f>F981+F982</f>
        <v>2850</v>
      </c>
      <c r="G980" s="65"/>
      <c r="H980" s="65"/>
      <c r="I980" s="43"/>
      <c r="J980" s="52"/>
    </row>
    <row r="981" spans="1:10" s="58" customFormat="1" hidden="1" x14ac:dyDescent="0.25">
      <c r="A981" s="53">
        <v>1</v>
      </c>
      <c r="B981" s="109" t="s">
        <v>257</v>
      </c>
      <c r="C981" s="53">
        <v>1</v>
      </c>
      <c r="D981" s="222" t="s">
        <v>50</v>
      </c>
      <c r="E981" s="13"/>
      <c r="F981" s="55">
        <v>2500</v>
      </c>
      <c r="G981" s="65"/>
      <c r="H981" s="65"/>
      <c r="I981" s="43"/>
      <c r="J981" s="52"/>
    </row>
    <row r="982" spans="1:10" s="58" customFormat="1" ht="30" hidden="1" x14ac:dyDescent="0.25">
      <c r="A982" s="53">
        <v>1</v>
      </c>
      <c r="B982" s="109" t="s">
        <v>257</v>
      </c>
      <c r="C982" s="53">
        <v>1</v>
      </c>
      <c r="D982" s="126" t="s">
        <v>203</v>
      </c>
      <c r="E982" s="13"/>
      <c r="F982" s="55">
        <v>350</v>
      </c>
      <c r="G982" s="465"/>
      <c r="H982" s="465"/>
      <c r="I982" s="29"/>
      <c r="J982" s="52"/>
    </row>
    <row r="983" spans="1:10" s="58" customFormat="1" hidden="1" x14ac:dyDescent="0.25">
      <c r="A983" s="53"/>
      <c r="B983" s="109" t="s">
        <v>257</v>
      </c>
      <c r="C983" s="53">
        <v>1</v>
      </c>
      <c r="D983" s="21" t="s">
        <v>198</v>
      </c>
      <c r="E983" s="41"/>
      <c r="F983" s="398">
        <f>F965+F945</f>
        <v>27000</v>
      </c>
      <c r="G983" s="465"/>
      <c r="H983" s="465"/>
      <c r="I983" s="29"/>
      <c r="J983" s="430"/>
    </row>
    <row r="984" spans="1:10" s="58" customFormat="1" ht="29.25" hidden="1" x14ac:dyDescent="0.25">
      <c r="A984" s="53"/>
      <c r="B984" s="109" t="s">
        <v>257</v>
      </c>
      <c r="C984" s="53">
        <v>1</v>
      </c>
      <c r="D984" s="21" t="s">
        <v>199</v>
      </c>
      <c r="E984" s="41"/>
      <c r="F984" s="398">
        <f>F954</f>
        <v>21690</v>
      </c>
      <c r="G984" s="465"/>
      <c r="H984" s="465"/>
      <c r="I984" s="29"/>
      <c r="J984" s="430"/>
    </row>
    <row r="985" spans="1:10" s="58" customFormat="1" hidden="1" x14ac:dyDescent="0.25">
      <c r="A985" s="53"/>
      <c r="B985" s="109" t="s">
        <v>257</v>
      </c>
      <c r="C985" s="53">
        <v>1</v>
      </c>
      <c r="D985" s="21" t="s">
        <v>200</v>
      </c>
      <c r="E985" s="41"/>
      <c r="F985" s="398">
        <f>F973+F952</f>
        <v>35000</v>
      </c>
      <c r="G985" s="465"/>
      <c r="H985" s="465"/>
      <c r="I985" s="29"/>
      <c r="J985" s="430"/>
    </row>
    <row r="986" spans="1:10" s="58" customFormat="1" ht="29.25" hidden="1" x14ac:dyDescent="0.25">
      <c r="A986" s="53"/>
      <c r="B986" s="109" t="s">
        <v>257</v>
      </c>
      <c r="C986" s="53">
        <v>1</v>
      </c>
      <c r="D986" s="21" t="s">
        <v>201</v>
      </c>
      <c r="E986" s="41"/>
      <c r="F986" s="398">
        <f>F977</f>
        <v>12860</v>
      </c>
      <c r="G986" s="465"/>
      <c r="H986" s="465"/>
      <c r="I986" s="29"/>
      <c r="J986" s="430"/>
    </row>
    <row r="987" spans="1:10" s="58" customFormat="1" hidden="1" x14ac:dyDescent="0.25">
      <c r="A987" s="53"/>
      <c r="B987" s="109" t="s">
        <v>257</v>
      </c>
      <c r="C987" s="53">
        <v>1</v>
      </c>
      <c r="D987" s="22" t="s">
        <v>109</v>
      </c>
      <c r="E987" s="41"/>
      <c r="F987" s="398">
        <f>F983+F984+F986+F985*2.9</f>
        <v>163050</v>
      </c>
      <c r="G987" s="465"/>
      <c r="H987" s="465"/>
      <c r="I987" s="29"/>
      <c r="J987" s="430"/>
    </row>
    <row r="988" spans="1:10" s="53" customFormat="1" hidden="1" x14ac:dyDescent="0.25">
      <c r="A988" s="53">
        <v>1</v>
      </c>
      <c r="B988" s="109" t="s">
        <v>257</v>
      </c>
      <c r="C988" s="53">
        <v>1</v>
      </c>
      <c r="D988" s="44" t="s">
        <v>7</v>
      </c>
      <c r="E988" s="514"/>
      <c r="F988" s="515"/>
      <c r="G988" s="2"/>
      <c r="H988" s="2"/>
      <c r="I988" s="2"/>
      <c r="J988" s="152"/>
    </row>
    <row r="989" spans="1:10" s="53" customFormat="1" hidden="1" x14ac:dyDescent="0.25">
      <c r="A989" s="53">
        <v>1</v>
      </c>
      <c r="B989" s="109" t="s">
        <v>257</v>
      </c>
      <c r="C989" s="53">
        <v>1</v>
      </c>
      <c r="D989" s="306" t="s">
        <v>71</v>
      </c>
      <c r="E989" s="514"/>
      <c r="F989" s="515"/>
      <c r="G989" s="2"/>
      <c r="H989" s="2"/>
      <c r="I989" s="2"/>
      <c r="J989" s="152"/>
    </row>
    <row r="990" spans="1:10" s="53" customFormat="1" hidden="1" x14ac:dyDescent="0.25">
      <c r="A990" s="53">
        <v>1</v>
      </c>
      <c r="B990" s="109" t="s">
        <v>257</v>
      </c>
      <c r="C990" s="53">
        <v>1</v>
      </c>
      <c r="D990" s="439" t="s">
        <v>8</v>
      </c>
      <c r="E990" s="54">
        <v>240</v>
      </c>
      <c r="F990" s="55">
        <v>90</v>
      </c>
      <c r="G990" s="47">
        <v>7</v>
      </c>
      <c r="H990" s="2">
        <f>ROUND(I990/E990,0)</f>
        <v>3</v>
      </c>
      <c r="I990" s="2">
        <f>ROUND(F990*G990,0)</f>
        <v>630</v>
      </c>
      <c r="J990" s="152"/>
    </row>
    <row r="991" spans="1:10" s="53" customFormat="1" hidden="1" x14ac:dyDescent="0.25">
      <c r="A991" s="53">
        <v>1</v>
      </c>
      <c r="B991" s="109" t="s">
        <v>257</v>
      </c>
      <c r="C991" s="53">
        <v>1</v>
      </c>
      <c r="D991" s="439" t="s">
        <v>24</v>
      </c>
      <c r="E991" s="54">
        <v>240</v>
      </c>
      <c r="F991" s="55">
        <v>860</v>
      </c>
      <c r="G991" s="47">
        <v>7</v>
      </c>
      <c r="H991" s="2">
        <f>ROUND(I991/E991,0)</f>
        <v>25</v>
      </c>
      <c r="I991" s="2">
        <f>ROUND(F991*G991,0)</f>
        <v>6020</v>
      </c>
      <c r="J991" s="152"/>
    </row>
    <row r="992" spans="1:10" s="53" customFormat="1" hidden="1" x14ac:dyDescent="0.25">
      <c r="A992" s="53">
        <v>1</v>
      </c>
      <c r="B992" s="109" t="s">
        <v>257</v>
      </c>
      <c r="C992" s="53">
        <v>1</v>
      </c>
      <c r="D992" s="439" t="s">
        <v>10</v>
      </c>
      <c r="E992" s="54">
        <v>240</v>
      </c>
      <c r="F992" s="55">
        <v>40</v>
      </c>
      <c r="G992" s="47">
        <v>3</v>
      </c>
      <c r="H992" s="2">
        <f>ROUND(I992/E992,0)</f>
        <v>1</v>
      </c>
      <c r="I992" s="2">
        <f>ROUND(F992*G992,0)</f>
        <v>120</v>
      </c>
      <c r="J992" s="152"/>
    </row>
    <row r="993" spans="1:10" s="53" customFormat="1" hidden="1" x14ac:dyDescent="0.25">
      <c r="A993" s="53">
        <v>1</v>
      </c>
      <c r="B993" s="109" t="s">
        <v>257</v>
      </c>
      <c r="C993" s="53">
        <v>1</v>
      </c>
      <c r="D993" s="497" t="s">
        <v>92</v>
      </c>
      <c r="E993" s="54"/>
      <c r="F993" s="459">
        <f>SUM(F990:F992)</f>
        <v>990</v>
      </c>
      <c r="G993" s="476">
        <f>I993/F993</f>
        <v>6.8383838383838382</v>
      </c>
      <c r="H993" s="31">
        <f>H990+H991+H992</f>
        <v>29</v>
      </c>
      <c r="I993" s="31">
        <f>I990+I991+I992</f>
        <v>6770</v>
      </c>
      <c r="J993" s="152"/>
    </row>
    <row r="994" spans="1:10" s="53" customFormat="1" hidden="1" x14ac:dyDescent="0.25">
      <c r="A994" s="53">
        <v>1</v>
      </c>
      <c r="B994" s="109" t="s">
        <v>257</v>
      </c>
      <c r="C994" s="53">
        <v>1</v>
      </c>
      <c r="D994" s="500" t="s">
        <v>86</v>
      </c>
      <c r="E994" s="54"/>
      <c r="F994" s="398">
        <f>F993</f>
        <v>990</v>
      </c>
      <c r="G994" s="82">
        <f>G993</f>
        <v>6.8383838383838382</v>
      </c>
      <c r="H994" s="29">
        <f>H993</f>
        <v>29</v>
      </c>
      <c r="I994" s="29">
        <f>I993</f>
        <v>6770</v>
      </c>
      <c r="J994" s="152"/>
    </row>
    <row r="995" spans="1:10" ht="15.75" hidden="1" thickBot="1" x14ac:dyDescent="0.3">
      <c r="A995" s="53">
        <v>1</v>
      </c>
      <c r="B995" s="109" t="s">
        <v>257</v>
      </c>
      <c r="C995" s="53">
        <v>1</v>
      </c>
      <c r="D995" s="448" t="s">
        <v>220</v>
      </c>
      <c r="E995" s="520"/>
      <c r="F995" s="521"/>
      <c r="G995" s="522"/>
      <c r="H995" s="522"/>
      <c r="I995" s="522"/>
    </row>
    <row r="996" spans="1:10" hidden="1" x14ac:dyDescent="0.25">
      <c r="A996" s="53">
        <v>1</v>
      </c>
      <c r="B996" s="53"/>
      <c r="C996" s="53">
        <v>1</v>
      </c>
      <c r="D996" s="487"/>
      <c r="E996" s="54"/>
      <c r="F996" s="423"/>
      <c r="G996" s="424"/>
      <c r="H996" s="424"/>
      <c r="I996" s="424"/>
    </row>
    <row r="997" spans="1:10" ht="29.25" hidden="1" x14ac:dyDescent="0.25">
      <c r="A997" s="53">
        <v>1</v>
      </c>
      <c r="B997" s="109" t="s">
        <v>258</v>
      </c>
      <c r="C997" s="53">
        <v>1</v>
      </c>
      <c r="D997" s="674" t="s">
        <v>400</v>
      </c>
      <c r="E997" s="54"/>
      <c r="F997" s="55"/>
      <c r="G997" s="2"/>
      <c r="H997" s="2"/>
      <c r="I997" s="2"/>
    </row>
    <row r="998" spans="1:10" s="58" customFormat="1" ht="48" hidden="1" customHeight="1" x14ac:dyDescent="0.25">
      <c r="A998" s="53">
        <v>1</v>
      </c>
      <c r="B998" s="109" t="s">
        <v>258</v>
      </c>
      <c r="C998" s="53">
        <v>1</v>
      </c>
      <c r="D998" s="101" t="s">
        <v>294</v>
      </c>
      <c r="E998" s="12"/>
      <c r="F998" s="429"/>
      <c r="G998" s="57"/>
      <c r="H998" s="57"/>
      <c r="I998" s="57"/>
      <c r="J998" s="430"/>
    </row>
    <row r="999" spans="1:10" s="58" customFormat="1" hidden="1" x14ac:dyDescent="0.25">
      <c r="A999" s="53"/>
      <c r="B999" s="109" t="s">
        <v>258</v>
      </c>
      <c r="C999" s="53">
        <v>1</v>
      </c>
      <c r="D999" s="14" t="s">
        <v>187</v>
      </c>
      <c r="E999" s="12"/>
      <c r="F999" s="429">
        <f>F1000+F1001+F1002+F1004</f>
        <v>21655</v>
      </c>
      <c r="G999" s="57"/>
      <c r="H999" s="57"/>
      <c r="I999" s="57"/>
      <c r="J999" s="430"/>
    </row>
    <row r="1000" spans="1:10" s="58" customFormat="1" hidden="1" x14ac:dyDescent="0.25">
      <c r="A1000" s="53"/>
      <c r="B1000" s="109" t="s">
        <v>258</v>
      </c>
      <c r="C1000" s="53">
        <v>1</v>
      </c>
      <c r="D1000" s="18" t="s">
        <v>113</v>
      </c>
      <c r="E1000" s="12"/>
      <c r="F1000" s="59">
        <v>5955</v>
      </c>
      <c r="G1000" s="57"/>
      <c r="H1000" s="57"/>
      <c r="I1000" s="57"/>
      <c r="J1000" s="430"/>
    </row>
    <row r="1001" spans="1:10" s="58" customFormat="1" ht="30" hidden="1" x14ac:dyDescent="0.25">
      <c r="A1001" s="53"/>
      <c r="B1001" s="109" t="s">
        <v>258</v>
      </c>
      <c r="C1001" s="53">
        <v>1</v>
      </c>
      <c r="D1001" s="18" t="s">
        <v>114</v>
      </c>
      <c r="E1001" s="12"/>
      <c r="F1001" s="59">
        <v>5000</v>
      </c>
      <c r="G1001" s="57"/>
      <c r="H1001" s="57"/>
      <c r="I1001" s="57"/>
      <c r="J1001" s="430"/>
    </row>
    <row r="1002" spans="1:10" s="58" customFormat="1" ht="30" hidden="1" x14ac:dyDescent="0.25">
      <c r="A1002" s="53"/>
      <c r="B1002" s="109" t="s">
        <v>258</v>
      </c>
      <c r="C1002" s="53">
        <v>1</v>
      </c>
      <c r="D1002" s="15" t="s">
        <v>361</v>
      </c>
      <c r="E1002" s="12"/>
      <c r="F1002" s="59">
        <v>8000</v>
      </c>
      <c r="G1002" s="57"/>
      <c r="H1002" s="57"/>
      <c r="I1002" s="57"/>
      <c r="J1002" s="430"/>
    </row>
    <row r="1003" spans="1:10" s="58" customFormat="1" ht="45" hidden="1" x14ac:dyDescent="0.25">
      <c r="A1003" s="53"/>
      <c r="B1003" s="109" t="s">
        <v>258</v>
      </c>
      <c r="C1003" s="53">
        <v>1</v>
      </c>
      <c r="D1003" s="15" t="s">
        <v>219</v>
      </c>
      <c r="E1003" s="12"/>
      <c r="F1003" s="59"/>
      <c r="G1003" s="57"/>
      <c r="H1003" s="57"/>
      <c r="I1003" s="57"/>
      <c r="J1003" s="430"/>
    </row>
    <row r="1004" spans="1:10" s="58" customFormat="1" ht="45" hidden="1" x14ac:dyDescent="0.25">
      <c r="A1004" s="53"/>
      <c r="B1004" s="109" t="s">
        <v>258</v>
      </c>
      <c r="C1004" s="53">
        <v>1</v>
      </c>
      <c r="D1004" s="15" t="s">
        <v>188</v>
      </c>
      <c r="E1004" s="12"/>
      <c r="F1004" s="59">
        <v>2700</v>
      </c>
      <c r="G1004" s="57"/>
      <c r="H1004" s="57"/>
      <c r="I1004" s="57"/>
      <c r="J1004" s="430"/>
    </row>
    <row r="1005" spans="1:10" s="58" customFormat="1" ht="75" hidden="1" x14ac:dyDescent="0.25">
      <c r="A1005" s="53"/>
      <c r="B1005" s="109"/>
      <c r="C1005" s="53">
        <v>1</v>
      </c>
      <c r="D1005" s="15" t="s">
        <v>353</v>
      </c>
      <c r="E1005" s="12"/>
      <c r="F1005" s="59">
        <v>820</v>
      </c>
      <c r="G1005" s="57"/>
      <c r="H1005" s="57"/>
      <c r="I1005" s="57"/>
      <c r="J1005" s="430"/>
    </row>
    <row r="1006" spans="1:10" s="58" customFormat="1" hidden="1" x14ac:dyDescent="0.25">
      <c r="A1006" s="53"/>
      <c r="B1006" s="109" t="s">
        <v>258</v>
      </c>
      <c r="C1006" s="53">
        <v>1</v>
      </c>
      <c r="D1006" s="60" t="s">
        <v>88</v>
      </c>
      <c r="E1006" s="12"/>
      <c r="F1006" s="429">
        <f>F1007</f>
        <v>36000</v>
      </c>
      <c r="G1006" s="57"/>
      <c r="H1006" s="57"/>
      <c r="I1006" s="57"/>
      <c r="J1006" s="430"/>
    </row>
    <row r="1007" spans="1:10" s="58" customFormat="1" hidden="1" x14ac:dyDescent="0.25">
      <c r="A1007" s="53"/>
      <c r="B1007" s="109" t="s">
        <v>258</v>
      </c>
      <c r="C1007" s="53">
        <v>1</v>
      </c>
      <c r="D1007" s="19" t="s">
        <v>145</v>
      </c>
      <c r="E1007" s="12"/>
      <c r="F1007" s="59">
        <v>36000</v>
      </c>
      <c r="G1007" s="57"/>
      <c r="H1007" s="57"/>
      <c r="I1007" s="57"/>
      <c r="J1007" s="430"/>
    </row>
    <row r="1008" spans="1:10" s="58" customFormat="1" ht="47.25" hidden="1" x14ac:dyDescent="0.25">
      <c r="A1008" s="53">
        <v>1</v>
      </c>
      <c r="B1008" s="109" t="s">
        <v>258</v>
      </c>
      <c r="C1008" s="53">
        <v>1</v>
      </c>
      <c r="D1008" s="61" t="s">
        <v>292</v>
      </c>
      <c r="E1008" s="62"/>
      <c r="F1008" s="398">
        <f>F1009+F1014</f>
        <v>18782</v>
      </c>
      <c r="G1008" s="57"/>
      <c r="H1008" s="57"/>
      <c r="I1008" s="57"/>
      <c r="J1008" s="430"/>
    </row>
    <row r="1009" spans="1:10" s="58" customFormat="1" ht="15" hidden="1" customHeight="1" x14ac:dyDescent="0.25">
      <c r="A1009" s="53">
        <v>1</v>
      </c>
      <c r="B1009" s="109" t="s">
        <v>258</v>
      </c>
      <c r="C1009" s="53">
        <v>1</v>
      </c>
      <c r="D1009" s="16" t="s">
        <v>189</v>
      </c>
      <c r="E1009" s="62"/>
      <c r="F1009" s="398">
        <f>SUM(F1010:F1013)</f>
        <v>352</v>
      </c>
      <c r="G1009" s="57"/>
      <c r="H1009" s="57"/>
      <c r="I1009" s="57"/>
      <c r="J1009" s="430"/>
    </row>
    <row r="1010" spans="1:10" ht="22.5" hidden="1" customHeight="1" x14ac:dyDescent="0.25">
      <c r="A1010" s="53">
        <v>1</v>
      </c>
      <c r="B1010" s="109" t="s">
        <v>258</v>
      </c>
      <c r="C1010" s="53">
        <v>1</v>
      </c>
      <c r="D1010" s="15" t="s">
        <v>190</v>
      </c>
      <c r="E1010" s="13"/>
      <c r="F1010" s="55"/>
      <c r="G1010" s="2"/>
      <c r="H1010" s="2"/>
      <c r="I1010" s="2"/>
    </row>
    <row r="1011" spans="1:10" s="58" customFormat="1" ht="45" hidden="1" x14ac:dyDescent="0.25">
      <c r="A1011" s="53">
        <v>1</v>
      </c>
      <c r="B1011" s="109" t="s">
        <v>258</v>
      </c>
      <c r="C1011" s="53">
        <v>1</v>
      </c>
      <c r="D1011" s="15" t="s">
        <v>191</v>
      </c>
      <c r="E1011" s="281"/>
      <c r="F1011" s="55"/>
      <c r="G1011" s="57"/>
      <c r="H1011" s="57"/>
      <c r="I1011" s="57"/>
      <c r="J1011" s="430"/>
    </row>
    <row r="1012" spans="1:10" s="58" customFormat="1" ht="30" hidden="1" x14ac:dyDescent="0.25">
      <c r="A1012" s="53">
        <v>1</v>
      </c>
      <c r="B1012" s="109" t="s">
        <v>258</v>
      </c>
      <c r="C1012" s="53">
        <v>1</v>
      </c>
      <c r="D1012" s="15" t="s">
        <v>192</v>
      </c>
      <c r="E1012" s="64"/>
      <c r="F1012" s="63">
        <v>136</v>
      </c>
      <c r="G1012" s="65"/>
      <c r="H1012" s="65"/>
      <c r="I1012" s="43"/>
      <c r="J1012" s="430"/>
    </row>
    <row r="1013" spans="1:10" s="58" customFormat="1" ht="30" hidden="1" x14ac:dyDescent="0.25">
      <c r="A1013" s="53">
        <v>1</v>
      </c>
      <c r="B1013" s="109" t="s">
        <v>258</v>
      </c>
      <c r="C1013" s="53">
        <v>1</v>
      </c>
      <c r="D1013" s="15" t="s">
        <v>193</v>
      </c>
      <c r="E1013" s="13"/>
      <c r="F1013" s="55">
        <v>216</v>
      </c>
      <c r="G1013" s="65"/>
      <c r="H1013" s="65"/>
      <c r="I1013" s="43"/>
      <c r="J1013" s="430"/>
    </row>
    <row r="1014" spans="1:10" s="58" customFormat="1" ht="30" hidden="1" x14ac:dyDescent="0.25">
      <c r="A1014" s="53">
        <v>1</v>
      </c>
      <c r="B1014" s="109" t="s">
        <v>258</v>
      </c>
      <c r="C1014" s="53">
        <v>1</v>
      </c>
      <c r="D1014" s="16" t="s">
        <v>194</v>
      </c>
      <c r="E1014" s="13"/>
      <c r="F1014" s="398">
        <f>SUM(F1015:F1017)</f>
        <v>18430</v>
      </c>
      <c r="G1014" s="65"/>
      <c r="H1014" s="65"/>
      <c r="I1014" s="43"/>
      <c r="J1014" s="430"/>
    </row>
    <row r="1015" spans="1:10" s="58" customFormat="1" ht="30" hidden="1" x14ac:dyDescent="0.25">
      <c r="A1015" s="53">
        <v>1</v>
      </c>
      <c r="B1015" s="109" t="s">
        <v>258</v>
      </c>
      <c r="C1015" s="53">
        <v>1</v>
      </c>
      <c r="D1015" s="15" t="s">
        <v>195</v>
      </c>
      <c r="E1015" s="13"/>
      <c r="F1015" s="55"/>
      <c r="G1015" s="65"/>
      <c r="H1015" s="65"/>
      <c r="I1015" s="43"/>
      <c r="J1015" s="430"/>
    </row>
    <row r="1016" spans="1:10" s="58" customFormat="1" ht="45" hidden="1" x14ac:dyDescent="0.25">
      <c r="A1016" s="53">
        <v>1</v>
      </c>
      <c r="B1016" s="109" t="s">
        <v>258</v>
      </c>
      <c r="C1016" s="53">
        <v>1</v>
      </c>
      <c r="D1016" s="15" t="s">
        <v>196</v>
      </c>
      <c r="E1016" s="13"/>
      <c r="F1016" s="55">
        <v>16900</v>
      </c>
      <c r="G1016" s="65"/>
      <c r="H1016" s="65"/>
      <c r="I1016" s="43"/>
      <c r="J1016" s="430"/>
    </row>
    <row r="1017" spans="1:10" s="58" customFormat="1" ht="45" hidden="1" x14ac:dyDescent="0.25">
      <c r="A1017" s="53">
        <v>1</v>
      </c>
      <c r="B1017" s="109" t="s">
        <v>258</v>
      </c>
      <c r="C1017" s="53">
        <v>1</v>
      </c>
      <c r="D1017" s="15" t="s">
        <v>197</v>
      </c>
      <c r="E1017" s="13"/>
      <c r="F1017" s="63">
        <v>1530</v>
      </c>
      <c r="G1017" s="65"/>
      <c r="H1017" s="65"/>
      <c r="I1017" s="43"/>
      <c r="J1017" s="430"/>
    </row>
    <row r="1018" spans="1:10" s="58" customFormat="1" hidden="1" x14ac:dyDescent="0.25">
      <c r="A1018" s="53"/>
      <c r="B1018" s="109"/>
      <c r="C1018" s="53">
        <v>1</v>
      </c>
      <c r="D1018" s="12" t="s">
        <v>96</v>
      </c>
      <c r="E1018" s="13"/>
      <c r="F1018" s="63"/>
      <c r="G1018" s="65"/>
      <c r="H1018" s="65"/>
      <c r="I1018" s="43"/>
      <c r="J1018" s="430"/>
    </row>
    <row r="1019" spans="1:10" s="58" customFormat="1" hidden="1" x14ac:dyDescent="0.25">
      <c r="A1019" s="53">
        <v>1</v>
      </c>
      <c r="B1019" s="109" t="s">
        <v>258</v>
      </c>
      <c r="C1019" s="53">
        <v>1</v>
      </c>
      <c r="D1019" s="14" t="s">
        <v>296</v>
      </c>
      <c r="E1019" s="13"/>
      <c r="F1019" s="63"/>
      <c r="G1019" s="65"/>
      <c r="H1019" s="65"/>
      <c r="I1019" s="43"/>
      <c r="J1019" s="430"/>
    </row>
    <row r="1020" spans="1:10" s="58" customFormat="1" hidden="1" x14ac:dyDescent="0.25">
      <c r="A1020" s="53">
        <v>1</v>
      </c>
      <c r="B1020" s="109" t="s">
        <v>258</v>
      </c>
      <c r="C1020" s="53">
        <v>1</v>
      </c>
      <c r="D1020" s="15" t="s">
        <v>297</v>
      </c>
      <c r="E1020" s="13"/>
      <c r="F1020" s="63"/>
      <c r="G1020" s="65"/>
      <c r="H1020" s="65"/>
      <c r="I1020" s="43"/>
      <c r="J1020" s="52"/>
    </row>
    <row r="1021" spans="1:10" s="58" customFormat="1" ht="30" hidden="1" x14ac:dyDescent="0.25">
      <c r="A1021" s="53">
        <v>1</v>
      </c>
      <c r="B1021" s="109" t="s">
        <v>258</v>
      </c>
      <c r="C1021" s="53">
        <v>1</v>
      </c>
      <c r="D1021" s="16" t="s">
        <v>298</v>
      </c>
      <c r="E1021" s="13"/>
      <c r="F1021" s="63"/>
      <c r="G1021" s="65"/>
      <c r="H1021" s="65"/>
      <c r="I1021" s="43"/>
      <c r="J1021" s="52"/>
    </row>
    <row r="1022" spans="1:10" s="124" customFormat="1" hidden="1" x14ac:dyDescent="0.25">
      <c r="A1022" s="104"/>
      <c r="B1022" s="109" t="s">
        <v>258</v>
      </c>
      <c r="C1022" s="53">
        <v>1</v>
      </c>
      <c r="D1022" s="15" t="s">
        <v>299</v>
      </c>
      <c r="E1022" s="13"/>
      <c r="F1022" s="17"/>
      <c r="G1022" s="10"/>
      <c r="H1022" s="10"/>
      <c r="I1022" s="10"/>
      <c r="J1022" s="52"/>
    </row>
    <row r="1023" spans="1:10" s="58" customFormat="1" ht="30" hidden="1" x14ac:dyDescent="0.25">
      <c r="A1023" s="53">
        <v>1</v>
      </c>
      <c r="B1023" s="109" t="s">
        <v>258</v>
      </c>
      <c r="C1023" s="53">
        <v>1</v>
      </c>
      <c r="D1023" s="15" t="s">
        <v>300</v>
      </c>
      <c r="E1023" s="13"/>
      <c r="F1023" s="63"/>
      <c r="G1023" s="65"/>
      <c r="H1023" s="65"/>
      <c r="I1023" s="43"/>
      <c r="J1023" s="52"/>
    </row>
    <row r="1024" spans="1:10" s="58" customFormat="1" ht="45" hidden="1" x14ac:dyDescent="0.25">
      <c r="A1024" s="53">
        <v>1</v>
      </c>
      <c r="B1024" s="109" t="s">
        <v>258</v>
      </c>
      <c r="C1024" s="53">
        <v>1</v>
      </c>
      <c r="D1024" s="15" t="s">
        <v>301</v>
      </c>
      <c r="E1024" s="13"/>
      <c r="F1024" s="75"/>
      <c r="G1024" s="65"/>
      <c r="H1024" s="65"/>
      <c r="I1024" s="43"/>
      <c r="J1024" s="52"/>
    </row>
    <row r="1025" spans="1:10" s="58" customFormat="1" ht="45" hidden="1" x14ac:dyDescent="0.25">
      <c r="A1025" s="53">
        <v>1</v>
      </c>
      <c r="B1025" s="109" t="s">
        <v>258</v>
      </c>
      <c r="C1025" s="53">
        <v>1</v>
      </c>
      <c r="D1025" s="15" t="s">
        <v>309</v>
      </c>
      <c r="E1025" s="13"/>
      <c r="F1025" s="501"/>
      <c r="G1025" s="65"/>
      <c r="H1025" s="65"/>
      <c r="I1025" s="43"/>
      <c r="J1025" s="52"/>
    </row>
    <row r="1026" spans="1:10" s="58" customFormat="1" ht="45" hidden="1" x14ac:dyDescent="0.25">
      <c r="A1026" s="53">
        <v>1</v>
      </c>
      <c r="B1026" s="109" t="s">
        <v>258</v>
      </c>
      <c r="C1026" s="53">
        <v>1</v>
      </c>
      <c r="D1026" s="18" t="s">
        <v>310</v>
      </c>
      <c r="E1026" s="13"/>
      <c r="F1026" s="501"/>
      <c r="G1026" s="65"/>
      <c r="H1026" s="65"/>
      <c r="I1026" s="43"/>
      <c r="J1026" s="52"/>
    </row>
    <row r="1027" spans="1:10" s="58" customFormat="1" hidden="1" x14ac:dyDescent="0.25">
      <c r="A1027" s="53">
        <v>1</v>
      </c>
      <c r="B1027" s="109" t="s">
        <v>258</v>
      </c>
      <c r="C1027" s="53">
        <v>1</v>
      </c>
      <c r="D1027" s="14" t="s">
        <v>303</v>
      </c>
      <c r="E1027" s="13"/>
      <c r="F1027" s="501"/>
      <c r="G1027" s="65"/>
      <c r="H1027" s="65"/>
      <c r="I1027" s="43"/>
      <c r="J1027" s="52"/>
    </row>
    <row r="1028" spans="1:10" s="58" customFormat="1" hidden="1" x14ac:dyDescent="0.25">
      <c r="A1028" s="53">
        <v>1</v>
      </c>
      <c r="B1028" s="109" t="s">
        <v>258</v>
      </c>
      <c r="C1028" s="53">
        <v>1</v>
      </c>
      <c r="D1028" s="14" t="s">
        <v>304</v>
      </c>
      <c r="E1028" s="13"/>
      <c r="F1028" s="501"/>
      <c r="G1028" s="65"/>
      <c r="H1028" s="65"/>
      <c r="I1028" s="43"/>
      <c r="J1028" s="52"/>
    </row>
    <row r="1029" spans="1:10" s="58" customFormat="1" hidden="1" x14ac:dyDescent="0.25">
      <c r="A1029" s="53">
        <v>1</v>
      </c>
      <c r="B1029" s="109" t="s">
        <v>258</v>
      </c>
      <c r="C1029" s="53">
        <v>1</v>
      </c>
      <c r="D1029" s="15" t="s">
        <v>305</v>
      </c>
      <c r="E1029" s="13"/>
      <c r="F1029" s="55"/>
      <c r="G1029" s="65"/>
      <c r="H1029" s="65"/>
      <c r="I1029" s="43"/>
      <c r="J1029" s="52"/>
    </row>
    <row r="1030" spans="1:10" s="58" customFormat="1" hidden="1" x14ac:dyDescent="0.25">
      <c r="A1030" s="53">
        <v>1</v>
      </c>
      <c r="B1030" s="109" t="s">
        <v>258</v>
      </c>
      <c r="C1030" s="53">
        <v>1</v>
      </c>
      <c r="D1030" s="42" t="s">
        <v>314</v>
      </c>
      <c r="E1030" s="13"/>
      <c r="F1030" s="55"/>
      <c r="G1030" s="65"/>
      <c r="H1030" s="65"/>
      <c r="I1030" s="43"/>
      <c r="J1030" s="52"/>
    </row>
    <row r="1031" spans="1:10" s="58" customFormat="1" ht="29.25" hidden="1" x14ac:dyDescent="0.25">
      <c r="A1031" s="53">
        <v>1</v>
      </c>
      <c r="B1031" s="109" t="s">
        <v>258</v>
      </c>
      <c r="C1031" s="53">
        <v>1</v>
      </c>
      <c r="D1031" s="14" t="s">
        <v>306</v>
      </c>
      <c r="E1031" s="13"/>
      <c r="F1031" s="55">
        <v>24370</v>
      </c>
      <c r="G1031" s="65"/>
      <c r="H1031" s="65"/>
      <c r="I1031" s="43"/>
      <c r="J1031" s="52"/>
    </row>
    <row r="1032" spans="1:10" s="58" customFormat="1" hidden="1" x14ac:dyDescent="0.25">
      <c r="A1032" s="53">
        <v>1</v>
      </c>
      <c r="B1032" s="109" t="s">
        <v>258</v>
      </c>
      <c r="C1032" s="53">
        <v>1</v>
      </c>
      <c r="D1032" s="19" t="s">
        <v>115</v>
      </c>
      <c r="E1032" s="62"/>
      <c r="F1032" s="63"/>
      <c r="G1032" s="65"/>
      <c r="H1032" s="65"/>
      <c r="I1032" s="43"/>
      <c r="J1032" s="52"/>
    </row>
    <row r="1033" spans="1:10" s="58" customFormat="1" ht="57.75" hidden="1" x14ac:dyDescent="0.25">
      <c r="A1033" s="53">
        <v>1</v>
      </c>
      <c r="B1033" s="109" t="s">
        <v>258</v>
      </c>
      <c r="C1033" s="53">
        <v>1</v>
      </c>
      <c r="D1033" s="14" t="s">
        <v>312</v>
      </c>
      <c r="E1033" s="62"/>
      <c r="F1033" s="75"/>
      <c r="G1033" s="65"/>
      <c r="H1033" s="65"/>
      <c r="I1033" s="43"/>
      <c r="J1033" s="52"/>
    </row>
    <row r="1034" spans="1:10" hidden="1" x14ac:dyDescent="0.25">
      <c r="A1034" s="53">
        <v>1</v>
      </c>
      <c r="B1034" s="109" t="s">
        <v>258</v>
      </c>
      <c r="C1034" s="53">
        <v>1</v>
      </c>
      <c r="D1034" s="20" t="s">
        <v>158</v>
      </c>
      <c r="E1034" s="13"/>
      <c r="F1034" s="55">
        <f>SUM(F1035:F1036)</f>
        <v>3500</v>
      </c>
      <c r="G1034" s="2"/>
      <c r="H1034" s="2"/>
      <c r="I1034" s="2"/>
    </row>
    <row r="1035" spans="1:10" s="58" customFormat="1" ht="30" hidden="1" x14ac:dyDescent="0.25">
      <c r="A1035" s="53">
        <v>1</v>
      </c>
      <c r="B1035" s="109" t="s">
        <v>258</v>
      </c>
      <c r="C1035" s="53">
        <v>1</v>
      </c>
      <c r="D1035" s="126" t="s">
        <v>202</v>
      </c>
      <c r="E1035" s="13"/>
      <c r="F1035" s="55">
        <v>20</v>
      </c>
      <c r="G1035" s="65"/>
      <c r="H1035" s="65"/>
      <c r="I1035" s="43"/>
      <c r="J1035" s="52"/>
    </row>
    <row r="1036" spans="1:10" s="58" customFormat="1" ht="30" hidden="1" x14ac:dyDescent="0.25">
      <c r="A1036" s="53"/>
      <c r="B1036" s="109" t="s">
        <v>258</v>
      </c>
      <c r="C1036" s="53">
        <v>1</v>
      </c>
      <c r="D1036" s="126" t="s">
        <v>203</v>
      </c>
      <c r="E1036" s="13"/>
      <c r="F1036" s="55">
        <v>3480</v>
      </c>
      <c r="G1036" s="65"/>
      <c r="H1036" s="65"/>
      <c r="I1036" s="43"/>
      <c r="J1036" s="52"/>
    </row>
    <row r="1037" spans="1:10" s="58" customFormat="1" hidden="1" x14ac:dyDescent="0.25">
      <c r="A1037" s="53"/>
      <c r="B1037" s="109" t="s">
        <v>258</v>
      </c>
      <c r="C1037" s="53">
        <v>1</v>
      </c>
      <c r="D1037" s="21" t="s">
        <v>198</v>
      </c>
      <c r="E1037" s="13"/>
      <c r="F1037" s="398">
        <f>F1019+F999</f>
        <v>21655</v>
      </c>
      <c r="G1037" s="65"/>
      <c r="H1037" s="65"/>
      <c r="I1037" s="43"/>
      <c r="J1037" s="430"/>
    </row>
    <row r="1038" spans="1:10" s="58" customFormat="1" ht="29.25" hidden="1" x14ac:dyDescent="0.25">
      <c r="A1038" s="53"/>
      <c r="B1038" s="109" t="s">
        <v>258</v>
      </c>
      <c r="C1038" s="53">
        <v>1</v>
      </c>
      <c r="D1038" s="21" t="s">
        <v>199</v>
      </c>
      <c r="E1038" s="13"/>
      <c r="F1038" s="398">
        <f>F1008</f>
        <v>18782</v>
      </c>
      <c r="G1038" s="65"/>
      <c r="H1038" s="65"/>
      <c r="I1038" s="43"/>
      <c r="J1038" s="430"/>
    </row>
    <row r="1039" spans="1:10" s="58" customFormat="1" hidden="1" x14ac:dyDescent="0.25">
      <c r="A1039" s="53"/>
      <c r="B1039" s="109" t="s">
        <v>258</v>
      </c>
      <c r="C1039" s="53">
        <v>1</v>
      </c>
      <c r="D1039" s="21" t="s">
        <v>200</v>
      </c>
      <c r="E1039" s="13"/>
      <c r="F1039" s="398">
        <f>F1027+F1006</f>
        <v>36000</v>
      </c>
      <c r="G1039" s="65"/>
      <c r="H1039" s="65"/>
      <c r="I1039" s="43"/>
      <c r="J1039" s="430"/>
    </row>
    <row r="1040" spans="1:10" s="58" customFormat="1" ht="29.25" hidden="1" x14ac:dyDescent="0.25">
      <c r="A1040" s="53"/>
      <c r="B1040" s="109" t="s">
        <v>258</v>
      </c>
      <c r="C1040" s="53">
        <v>1</v>
      </c>
      <c r="D1040" s="21" t="s">
        <v>201</v>
      </c>
      <c r="E1040" s="13"/>
      <c r="F1040" s="398">
        <f>F1031</f>
        <v>24370</v>
      </c>
      <c r="G1040" s="65"/>
      <c r="H1040" s="65"/>
      <c r="I1040" s="43"/>
      <c r="J1040" s="430"/>
    </row>
    <row r="1041" spans="1:10" s="58" customFormat="1" hidden="1" x14ac:dyDescent="0.25">
      <c r="A1041" s="53">
        <v>1</v>
      </c>
      <c r="B1041" s="109" t="s">
        <v>258</v>
      </c>
      <c r="C1041" s="53">
        <v>1</v>
      </c>
      <c r="D1041" s="22" t="s">
        <v>109</v>
      </c>
      <c r="E1041" s="13"/>
      <c r="F1041" s="398">
        <f>F1037+F1038+F1040+F1039*2.9</f>
        <v>169207</v>
      </c>
      <c r="G1041" s="65"/>
      <c r="H1041" s="65"/>
      <c r="I1041" s="43"/>
      <c r="J1041" s="430"/>
    </row>
    <row r="1042" spans="1:10" hidden="1" x14ac:dyDescent="0.25">
      <c r="A1042" s="53">
        <v>1</v>
      </c>
      <c r="B1042" s="109" t="s">
        <v>258</v>
      </c>
      <c r="C1042" s="53">
        <v>1</v>
      </c>
      <c r="D1042" s="44" t="s">
        <v>7</v>
      </c>
      <c r="E1042" s="514"/>
      <c r="F1042" s="515"/>
      <c r="G1042" s="2"/>
      <c r="H1042" s="2"/>
      <c r="I1042" s="2"/>
    </row>
    <row r="1043" spans="1:10" hidden="1" x14ac:dyDescent="0.25">
      <c r="A1043" s="53">
        <v>1</v>
      </c>
      <c r="B1043" s="109" t="s">
        <v>258</v>
      </c>
      <c r="C1043" s="53">
        <v>1</v>
      </c>
      <c r="D1043" s="306" t="s">
        <v>71</v>
      </c>
      <c r="E1043" s="514"/>
      <c r="F1043" s="515"/>
      <c r="G1043" s="2"/>
      <c r="H1043" s="2"/>
      <c r="I1043" s="2"/>
    </row>
    <row r="1044" spans="1:10" s="53" customFormat="1" hidden="1" x14ac:dyDescent="0.25">
      <c r="A1044" s="53">
        <v>1</v>
      </c>
      <c r="B1044" s="109" t="s">
        <v>258</v>
      </c>
      <c r="C1044" s="53">
        <v>1</v>
      </c>
      <c r="D1044" s="439" t="s">
        <v>24</v>
      </c>
      <c r="E1044" s="54">
        <v>240</v>
      </c>
      <c r="F1044" s="55">
        <v>1997</v>
      </c>
      <c r="G1044" s="47">
        <v>8</v>
      </c>
      <c r="H1044" s="2">
        <f>ROUND(I1044/E1044,0)</f>
        <v>67</v>
      </c>
      <c r="I1044" s="2">
        <f>ROUND(F1044*G1044,0)</f>
        <v>15976</v>
      </c>
      <c r="J1044" s="152"/>
    </row>
    <row r="1045" spans="1:10" s="53" customFormat="1" hidden="1" x14ac:dyDescent="0.25">
      <c r="A1045" s="53">
        <v>1</v>
      </c>
      <c r="B1045" s="109" t="s">
        <v>258</v>
      </c>
      <c r="C1045" s="53">
        <v>1</v>
      </c>
      <c r="D1045" s="497" t="s">
        <v>92</v>
      </c>
      <c r="E1045" s="54"/>
      <c r="F1045" s="459">
        <f>SUM(F1044)</f>
        <v>1997</v>
      </c>
      <c r="G1045" s="476">
        <f t="shared" ref="F1045:I1046" si="11">G1044</f>
        <v>8</v>
      </c>
      <c r="H1045" s="31">
        <f t="shared" si="11"/>
        <v>67</v>
      </c>
      <c r="I1045" s="31">
        <f t="shared" si="11"/>
        <v>15976</v>
      </c>
      <c r="J1045" s="152"/>
    </row>
    <row r="1046" spans="1:10" s="53" customFormat="1" hidden="1" x14ac:dyDescent="0.25">
      <c r="A1046" s="53">
        <v>1</v>
      </c>
      <c r="B1046" s="109" t="s">
        <v>258</v>
      </c>
      <c r="C1046" s="53">
        <v>1</v>
      </c>
      <c r="D1046" s="500" t="s">
        <v>86</v>
      </c>
      <c r="E1046" s="54"/>
      <c r="F1046" s="446">
        <f t="shared" si="11"/>
        <v>1997</v>
      </c>
      <c r="G1046" s="82">
        <f t="shared" si="11"/>
        <v>8</v>
      </c>
      <c r="H1046" s="302">
        <f t="shared" si="11"/>
        <v>67</v>
      </c>
      <c r="I1046" s="302">
        <f t="shared" si="11"/>
        <v>15976</v>
      </c>
      <c r="J1046" s="152"/>
    </row>
    <row r="1047" spans="1:10" ht="15.75" hidden="1" thickBot="1" x14ac:dyDescent="0.3">
      <c r="A1047" s="53">
        <v>1</v>
      </c>
      <c r="B1047" s="109" t="s">
        <v>258</v>
      </c>
      <c r="C1047" s="53">
        <v>1</v>
      </c>
      <c r="D1047" s="448" t="s">
        <v>220</v>
      </c>
      <c r="E1047" s="520"/>
      <c r="F1047" s="518"/>
      <c r="G1047" s="519"/>
      <c r="H1047" s="519"/>
      <c r="I1047" s="519"/>
    </row>
    <row r="1048" spans="1:10" hidden="1" x14ac:dyDescent="0.25">
      <c r="A1048" s="53">
        <v>1</v>
      </c>
      <c r="B1048" s="53"/>
      <c r="C1048" s="53">
        <v>1</v>
      </c>
      <c r="D1048" s="523"/>
      <c r="E1048" s="391"/>
      <c r="F1048" s="423"/>
      <c r="G1048" s="424"/>
      <c r="H1048" s="424"/>
      <c r="I1048" s="424"/>
    </row>
    <row r="1049" spans="1:10" ht="29.25" hidden="1" x14ac:dyDescent="0.25">
      <c r="A1049" s="53">
        <v>1</v>
      </c>
      <c r="B1049" s="109" t="s">
        <v>259</v>
      </c>
      <c r="C1049" s="53">
        <v>1</v>
      </c>
      <c r="D1049" s="674" t="s">
        <v>401</v>
      </c>
      <c r="E1049" s="54"/>
      <c r="F1049" s="55"/>
      <c r="G1049" s="2"/>
      <c r="H1049" s="2"/>
      <c r="I1049" s="2"/>
    </row>
    <row r="1050" spans="1:10" s="58" customFormat="1" ht="47.25" hidden="1" customHeight="1" x14ac:dyDescent="0.25">
      <c r="A1050" s="53">
        <v>1</v>
      </c>
      <c r="B1050" s="109" t="s">
        <v>259</v>
      </c>
      <c r="C1050" s="53">
        <v>1</v>
      </c>
      <c r="D1050" s="101" t="s">
        <v>294</v>
      </c>
      <c r="E1050" s="12"/>
      <c r="F1050" s="429"/>
      <c r="G1050" s="57"/>
      <c r="H1050" s="57"/>
      <c r="I1050" s="57"/>
      <c r="J1050" s="430"/>
    </row>
    <row r="1051" spans="1:10" s="58" customFormat="1" hidden="1" x14ac:dyDescent="0.25">
      <c r="A1051" s="53"/>
      <c r="B1051" s="109" t="s">
        <v>259</v>
      </c>
      <c r="C1051" s="53">
        <v>1</v>
      </c>
      <c r="D1051" s="14" t="s">
        <v>187</v>
      </c>
      <c r="E1051" s="12"/>
      <c r="F1051" s="429">
        <f>F1053+F1054+F1056</f>
        <v>24000</v>
      </c>
      <c r="G1051" s="57"/>
      <c r="H1051" s="57"/>
      <c r="I1051" s="57"/>
      <c r="J1051" s="430"/>
    </row>
    <row r="1052" spans="1:10" s="58" customFormat="1" hidden="1" x14ac:dyDescent="0.25">
      <c r="A1052" s="53"/>
      <c r="B1052" s="109" t="s">
        <v>259</v>
      </c>
      <c r="C1052" s="53">
        <v>1</v>
      </c>
      <c r="D1052" s="18" t="s">
        <v>113</v>
      </c>
      <c r="E1052" s="12"/>
      <c r="F1052" s="429"/>
      <c r="G1052" s="57"/>
      <c r="H1052" s="57"/>
      <c r="I1052" s="57"/>
      <c r="J1052" s="430"/>
    </row>
    <row r="1053" spans="1:10" s="58" customFormat="1" ht="30" hidden="1" x14ac:dyDescent="0.25">
      <c r="A1053" s="53"/>
      <c r="B1053" s="109" t="s">
        <v>259</v>
      </c>
      <c r="C1053" s="53">
        <v>1</v>
      </c>
      <c r="D1053" s="18" t="s">
        <v>114</v>
      </c>
      <c r="E1053" s="12"/>
      <c r="F1053" s="59">
        <v>2000</v>
      </c>
      <c r="G1053" s="57"/>
      <c r="H1053" s="57"/>
      <c r="I1053" s="57"/>
      <c r="J1053" s="430"/>
    </row>
    <row r="1054" spans="1:10" s="58" customFormat="1" ht="30" hidden="1" x14ac:dyDescent="0.25">
      <c r="A1054" s="53"/>
      <c r="B1054" s="109" t="s">
        <v>259</v>
      </c>
      <c r="C1054" s="53">
        <v>1</v>
      </c>
      <c r="D1054" s="15" t="s">
        <v>361</v>
      </c>
      <c r="E1054" s="12"/>
      <c r="F1054" s="59">
        <v>10000</v>
      </c>
      <c r="G1054" s="57"/>
      <c r="H1054" s="57"/>
      <c r="I1054" s="57"/>
      <c r="J1054" s="430"/>
    </row>
    <row r="1055" spans="1:10" s="58" customFormat="1" ht="45" hidden="1" x14ac:dyDescent="0.25">
      <c r="A1055" s="53"/>
      <c r="B1055" s="109" t="s">
        <v>259</v>
      </c>
      <c r="C1055" s="53">
        <v>1</v>
      </c>
      <c r="D1055" s="15" t="s">
        <v>219</v>
      </c>
      <c r="E1055" s="12"/>
      <c r="F1055" s="59"/>
      <c r="G1055" s="57"/>
      <c r="H1055" s="57"/>
      <c r="I1055" s="57"/>
      <c r="J1055" s="430"/>
    </row>
    <row r="1056" spans="1:10" s="58" customFormat="1" ht="45" hidden="1" x14ac:dyDescent="0.25">
      <c r="A1056" s="53"/>
      <c r="B1056" s="109" t="s">
        <v>259</v>
      </c>
      <c r="C1056" s="53">
        <v>1</v>
      </c>
      <c r="D1056" s="15" t="s">
        <v>188</v>
      </c>
      <c r="E1056" s="12"/>
      <c r="F1056" s="59">
        <v>12000</v>
      </c>
      <c r="G1056" s="57"/>
      <c r="H1056" s="57"/>
      <c r="I1056" s="57"/>
      <c r="J1056" s="430"/>
    </row>
    <row r="1057" spans="1:10" s="58" customFormat="1" ht="75" hidden="1" x14ac:dyDescent="0.25">
      <c r="A1057" s="53"/>
      <c r="B1057" s="109"/>
      <c r="C1057" s="53">
        <v>1</v>
      </c>
      <c r="D1057" s="15" t="s">
        <v>353</v>
      </c>
      <c r="E1057" s="12"/>
      <c r="F1057" s="59">
        <v>1500</v>
      </c>
      <c r="G1057" s="57"/>
      <c r="H1057" s="57"/>
      <c r="I1057" s="57"/>
      <c r="J1057" s="430"/>
    </row>
    <row r="1058" spans="1:10" s="58" customFormat="1" hidden="1" x14ac:dyDescent="0.25">
      <c r="A1058" s="53"/>
      <c r="B1058" s="109" t="s">
        <v>259</v>
      </c>
      <c r="C1058" s="53">
        <v>1</v>
      </c>
      <c r="D1058" s="60" t="s">
        <v>88</v>
      </c>
      <c r="E1058" s="12"/>
      <c r="F1058" s="429">
        <f>F1059</f>
        <v>33000</v>
      </c>
      <c r="G1058" s="57"/>
      <c r="H1058" s="57"/>
      <c r="I1058" s="57"/>
      <c r="J1058" s="430"/>
    </row>
    <row r="1059" spans="1:10" s="58" customFormat="1" hidden="1" x14ac:dyDescent="0.25">
      <c r="A1059" s="53"/>
      <c r="B1059" s="109" t="s">
        <v>259</v>
      </c>
      <c r="C1059" s="53">
        <v>1</v>
      </c>
      <c r="D1059" s="19" t="s">
        <v>145</v>
      </c>
      <c r="E1059" s="12"/>
      <c r="F1059" s="59">
        <v>33000</v>
      </c>
      <c r="G1059" s="57"/>
      <c r="H1059" s="57"/>
      <c r="I1059" s="57"/>
      <c r="J1059" s="430"/>
    </row>
    <row r="1060" spans="1:10" s="58" customFormat="1" ht="47.25" hidden="1" x14ac:dyDescent="0.25">
      <c r="A1060" s="53"/>
      <c r="B1060" s="109" t="s">
        <v>259</v>
      </c>
      <c r="C1060" s="53">
        <v>1</v>
      </c>
      <c r="D1060" s="61" t="s">
        <v>292</v>
      </c>
      <c r="E1060" s="12"/>
      <c r="F1060" s="429">
        <f>F1061+F1066</f>
        <v>19811</v>
      </c>
      <c r="G1060" s="57"/>
      <c r="H1060" s="57"/>
      <c r="I1060" s="57"/>
      <c r="J1060" s="430"/>
    </row>
    <row r="1061" spans="1:10" s="58" customFormat="1" ht="16.5" hidden="1" customHeight="1" x14ac:dyDescent="0.25">
      <c r="A1061" s="53"/>
      <c r="B1061" s="109" t="s">
        <v>259</v>
      </c>
      <c r="C1061" s="53">
        <v>1</v>
      </c>
      <c r="D1061" s="16" t="s">
        <v>189</v>
      </c>
      <c r="E1061" s="12"/>
      <c r="F1061" s="429">
        <f>SUM(F1062:F1065)</f>
        <v>111</v>
      </c>
      <c r="G1061" s="57"/>
      <c r="H1061" s="57"/>
      <c r="I1061" s="57"/>
      <c r="J1061" s="430"/>
    </row>
    <row r="1062" spans="1:10" s="58" customFormat="1" ht="17.25" hidden="1" customHeight="1" x14ac:dyDescent="0.25">
      <c r="A1062" s="53"/>
      <c r="B1062" s="109" t="s">
        <v>259</v>
      </c>
      <c r="C1062" s="53">
        <v>1</v>
      </c>
      <c r="D1062" s="15" t="s">
        <v>190</v>
      </c>
      <c r="E1062" s="12"/>
      <c r="F1062" s="429"/>
      <c r="G1062" s="57"/>
      <c r="H1062" s="57"/>
      <c r="I1062" s="57"/>
      <c r="J1062" s="430"/>
    </row>
    <row r="1063" spans="1:10" s="58" customFormat="1" ht="45" hidden="1" x14ac:dyDescent="0.25">
      <c r="A1063" s="53"/>
      <c r="B1063" s="109" t="s">
        <v>259</v>
      </c>
      <c r="C1063" s="53">
        <v>1</v>
      </c>
      <c r="D1063" s="15" t="s">
        <v>191</v>
      </c>
      <c r="E1063" s="12"/>
      <c r="F1063" s="429"/>
      <c r="G1063" s="57"/>
      <c r="H1063" s="57"/>
      <c r="I1063" s="57"/>
      <c r="J1063" s="430"/>
    </row>
    <row r="1064" spans="1:10" s="58" customFormat="1" ht="30" hidden="1" x14ac:dyDescent="0.25">
      <c r="A1064" s="53"/>
      <c r="B1064" s="109" t="s">
        <v>259</v>
      </c>
      <c r="C1064" s="53">
        <v>1</v>
      </c>
      <c r="D1064" s="15" t="s">
        <v>192</v>
      </c>
      <c r="E1064" s="12"/>
      <c r="F1064" s="59">
        <v>24</v>
      </c>
      <c r="G1064" s="57"/>
      <c r="H1064" s="57"/>
      <c r="I1064" s="57"/>
      <c r="J1064" s="430"/>
    </row>
    <row r="1065" spans="1:10" s="58" customFormat="1" ht="30" hidden="1" x14ac:dyDescent="0.25">
      <c r="A1065" s="53">
        <v>1</v>
      </c>
      <c r="B1065" s="109" t="s">
        <v>259</v>
      </c>
      <c r="C1065" s="53">
        <v>1</v>
      </c>
      <c r="D1065" s="15" t="s">
        <v>193</v>
      </c>
      <c r="E1065" s="62"/>
      <c r="F1065" s="63">
        <v>87</v>
      </c>
      <c r="G1065" s="57"/>
      <c r="H1065" s="57"/>
      <c r="I1065" s="57"/>
      <c r="J1065" s="430"/>
    </row>
    <row r="1066" spans="1:10" s="58" customFormat="1" ht="30" hidden="1" x14ac:dyDescent="0.25">
      <c r="A1066" s="53">
        <v>1</v>
      </c>
      <c r="B1066" s="109" t="s">
        <v>259</v>
      </c>
      <c r="C1066" s="53">
        <v>1</v>
      </c>
      <c r="D1066" s="16" t="s">
        <v>194</v>
      </c>
      <c r="E1066" s="62"/>
      <c r="F1066" s="432">
        <f>SUM(F1067:F1069)</f>
        <v>19700</v>
      </c>
      <c r="G1066" s="57"/>
      <c r="H1066" s="57"/>
      <c r="I1066" s="57"/>
      <c r="J1066" s="430"/>
    </row>
    <row r="1067" spans="1:10" s="58" customFormat="1" ht="30" hidden="1" x14ac:dyDescent="0.25">
      <c r="A1067" s="53">
        <v>1</v>
      </c>
      <c r="B1067" s="109" t="s">
        <v>259</v>
      </c>
      <c r="C1067" s="53">
        <v>1</v>
      </c>
      <c r="D1067" s="15" t="s">
        <v>195</v>
      </c>
      <c r="E1067" s="62"/>
      <c r="F1067" s="55"/>
      <c r="G1067" s="57"/>
      <c r="H1067" s="57"/>
      <c r="I1067" s="57"/>
      <c r="J1067" s="430"/>
    </row>
    <row r="1068" spans="1:10" s="58" customFormat="1" ht="45" hidden="1" x14ac:dyDescent="0.25">
      <c r="A1068" s="53">
        <v>1</v>
      </c>
      <c r="B1068" s="109" t="s">
        <v>259</v>
      </c>
      <c r="C1068" s="53">
        <v>1</v>
      </c>
      <c r="D1068" s="15" t="s">
        <v>196</v>
      </c>
      <c r="E1068" s="62"/>
      <c r="F1068" s="55">
        <v>16700</v>
      </c>
      <c r="G1068" s="57"/>
      <c r="H1068" s="57"/>
      <c r="I1068" s="57"/>
      <c r="J1068" s="430"/>
    </row>
    <row r="1069" spans="1:10" s="58" customFormat="1" ht="45" hidden="1" x14ac:dyDescent="0.25">
      <c r="A1069" s="53">
        <v>1</v>
      </c>
      <c r="B1069" s="109" t="s">
        <v>259</v>
      </c>
      <c r="C1069" s="53">
        <v>1</v>
      </c>
      <c r="D1069" s="15" t="s">
        <v>197</v>
      </c>
      <c r="E1069" s="62"/>
      <c r="F1069" s="55">
        <v>3000</v>
      </c>
      <c r="G1069" s="57"/>
      <c r="H1069" s="57"/>
      <c r="I1069" s="57"/>
      <c r="J1069" s="430"/>
    </row>
    <row r="1070" spans="1:10" s="58" customFormat="1" hidden="1" x14ac:dyDescent="0.25">
      <c r="A1070" s="53"/>
      <c r="B1070" s="109"/>
      <c r="C1070" s="53">
        <v>1</v>
      </c>
      <c r="D1070" s="12" t="s">
        <v>96</v>
      </c>
      <c r="E1070" s="62"/>
      <c r="F1070" s="55"/>
      <c r="G1070" s="78"/>
      <c r="H1070" s="78"/>
      <c r="I1070" s="78"/>
      <c r="J1070" s="430"/>
    </row>
    <row r="1071" spans="1:10" hidden="1" x14ac:dyDescent="0.25">
      <c r="A1071" s="53">
        <v>1</v>
      </c>
      <c r="B1071" s="109" t="s">
        <v>259</v>
      </c>
      <c r="C1071" s="53">
        <v>1</v>
      </c>
      <c r="D1071" s="14" t="s">
        <v>296</v>
      </c>
      <c r="E1071" s="13"/>
      <c r="F1071" s="55"/>
      <c r="G1071" s="2"/>
      <c r="H1071" s="2"/>
      <c r="I1071" s="2"/>
    </row>
    <row r="1072" spans="1:10" s="58" customFormat="1" hidden="1" x14ac:dyDescent="0.25">
      <c r="A1072" s="53">
        <v>1</v>
      </c>
      <c r="B1072" s="109" t="s">
        <v>259</v>
      </c>
      <c r="C1072" s="53">
        <v>1</v>
      </c>
      <c r="D1072" s="15" t="s">
        <v>297</v>
      </c>
      <c r="E1072" s="281"/>
      <c r="F1072" s="55"/>
      <c r="G1072" s="57"/>
      <c r="H1072" s="57"/>
      <c r="I1072" s="57"/>
      <c r="J1072" s="52"/>
    </row>
    <row r="1073" spans="1:10" s="58" customFormat="1" ht="30" hidden="1" x14ac:dyDescent="0.25">
      <c r="A1073" s="53">
        <v>1</v>
      </c>
      <c r="B1073" s="109" t="s">
        <v>259</v>
      </c>
      <c r="C1073" s="53">
        <v>1</v>
      </c>
      <c r="D1073" s="16" t="s">
        <v>298</v>
      </c>
      <c r="E1073" s="64"/>
      <c r="F1073" s="432"/>
      <c r="G1073" s="65"/>
      <c r="H1073" s="65"/>
      <c r="I1073" s="43"/>
      <c r="J1073" s="52"/>
    </row>
    <row r="1074" spans="1:10" s="124" customFormat="1" hidden="1" x14ac:dyDescent="0.25">
      <c r="A1074" s="104"/>
      <c r="B1074" s="109" t="s">
        <v>259</v>
      </c>
      <c r="C1074" s="53">
        <v>1</v>
      </c>
      <c r="D1074" s="15" t="s">
        <v>299</v>
      </c>
      <c r="E1074" s="13"/>
      <c r="F1074" s="17"/>
      <c r="G1074" s="10"/>
      <c r="H1074" s="10"/>
      <c r="I1074" s="10"/>
      <c r="J1074" s="52"/>
    </row>
    <row r="1075" spans="1:10" s="58" customFormat="1" ht="30" hidden="1" x14ac:dyDescent="0.25">
      <c r="A1075" s="53">
        <v>1</v>
      </c>
      <c r="B1075" s="109" t="s">
        <v>259</v>
      </c>
      <c r="C1075" s="53">
        <v>1</v>
      </c>
      <c r="D1075" s="15" t="s">
        <v>300</v>
      </c>
      <c r="E1075" s="13"/>
      <c r="F1075" s="55"/>
      <c r="G1075" s="65"/>
      <c r="H1075" s="65"/>
      <c r="I1075" s="43"/>
      <c r="J1075" s="52"/>
    </row>
    <row r="1076" spans="1:10" s="58" customFormat="1" ht="45" hidden="1" x14ac:dyDescent="0.25">
      <c r="A1076" s="53">
        <v>1</v>
      </c>
      <c r="B1076" s="109" t="s">
        <v>259</v>
      </c>
      <c r="C1076" s="53">
        <v>1</v>
      </c>
      <c r="D1076" s="15" t="s">
        <v>301</v>
      </c>
      <c r="E1076" s="13"/>
      <c r="F1076" s="55"/>
      <c r="G1076" s="65"/>
      <c r="H1076" s="65"/>
      <c r="I1076" s="43"/>
      <c r="J1076" s="52"/>
    </row>
    <row r="1077" spans="1:10" s="58" customFormat="1" ht="45" hidden="1" x14ac:dyDescent="0.25">
      <c r="A1077" s="53">
        <v>1</v>
      </c>
      <c r="B1077" s="109" t="s">
        <v>259</v>
      </c>
      <c r="C1077" s="53">
        <v>1</v>
      </c>
      <c r="D1077" s="15" t="s">
        <v>309</v>
      </c>
      <c r="E1077" s="13"/>
      <c r="F1077" s="63"/>
      <c r="G1077" s="65"/>
      <c r="H1077" s="65"/>
      <c r="I1077" s="43"/>
      <c r="J1077" s="52"/>
    </row>
    <row r="1078" spans="1:10" s="58" customFormat="1" ht="45" hidden="1" x14ac:dyDescent="0.25">
      <c r="A1078" s="53">
        <v>1</v>
      </c>
      <c r="B1078" s="109" t="s">
        <v>259</v>
      </c>
      <c r="C1078" s="53">
        <v>1</v>
      </c>
      <c r="D1078" s="18" t="s">
        <v>310</v>
      </c>
      <c r="E1078" s="13"/>
      <c r="F1078" s="63"/>
      <c r="G1078" s="65"/>
      <c r="H1078" s="65"/>
      <c r="I1078" s="43"/>
      <c r="J1078" s="52"/>
    </row>
    <row r="1079" spans="1:10" s="58" customFormat="1" hidden="1" x14ac:dyDescent="0.25">
      <c r="A1079" s="53">
        <v>1</v>
      </c>
      <c r="B1079" s="109" t="s">
        <v>259</v>
      </c>
      <c r="C1079" s="53">
        <v>1</v>
      </c>
      <c r="D1079" s="14" t="s">
        <v>303</v>
      </c>
      <c r="E1079" s="13"/>
      <c r="F1079" s="63"/>
      <c r="G1079" s="65"/>
      <c r="H1079" s="65"/>
      <c r="I1079" s="43"/>
      <c r="J1079" s="52"/>
    </row>
    <row r="1080" spans="1:10" s="58" customFormat="1" hidden="1" x14ac:dyDescent="0.25">
      <c r="A1080" s="53">
        <v>1</v>
      </c>
      <c r="B1080" s="109" t="s">
        <v>259</v>
      </c>
      <c r="C1080" s="53">
        <v>1</v>
      </c>
      <c r="D1080" s="14" t="s">
        <v>304</v>
      </c>
      <c r="E1080" s="13"/>
      <c r="F1080" s="63"/>
      <c r="G1080" s="65"/>
      <c r="H1080" s="65"/>
      <c r="I1080" s="43"/>
      <c r="J1080" s="52"/>
    </row>
    <row r="1081" spans="1:10" s="58" customFormat="1" hidden="1" x14ac:dyDescent="0.25">
      <c r="A1081" s="53">
        <v>1</v>
      </c>
      <c r="B1081" s="109" t="s">
        <v>259</v>
      </c>
      <c r="C1081" s="53">
        <v>1</v>
      </c>
      <c r="D1081" s="15" t="s">
        <v>305</v>
      </c>
      <c r="E1081" s="13"/>
      <c r="F1081" s="63"/>
      <c r="G1081" s="65"/>
      <c r="H1081" s="65"/>
      <c r="I1081" s="43"/>
      <c r="J1081" s="52"/>
    </row>
    <row r="1082" spans="1:10" s="58" customFormat="1" hidden="1" x14ac:dyDescent="0.25">
      <c r="A1082" s="53">
        <v>1</v>
      </c>
      <c r="B1082" s="109" t="s">
        <v>259</v>
      </c>
      <c r="C1082" s="53">
        <v>1</v>
      </c>
      <c r="D1082" s="42" t="s">
        <v>314</v>
      </c>
      <c r="E1082" s="13"/>
      <c r="F1082" s="75"/>
      <c r="G1082" s="65"/>
      <c r="H1082" s="65"/>
      <c r="I1082" s="43"/>
      <c r="J1082" s="52"/>
    </row>
    <row r="1083" spans="1:10" s="58" customFormat="1" ht="29.25" hidden="1" x14ac:dyDescent="0.25">
      <c r="A1083" s="53">
        <v>1</v>
      </c>
      <c r="B1083" s="109" t="s">
        <v>259</v>
      </c>
      <c r="C1083" s="53">
        <v>1</v>
      </c>
      <c r="D1083" s="14" t="s">
        <v>306</v>
      </c>
      <c r="E1083" s="13"/>
      <c r="F1083" s="55">
        <v>14800</v>
      </c>
      <c r="G1083" s="65"/>
      <c r="H1083" s="65"/>
      <c r="I1083" s="43"/>
      <c r="J1083" s="52"/>
    </row>
    <row r="1084" spans="1:10" s="58" customFormat="1" hidden="1" x14ac:dyDescent="0.25">
      <c r="A1084" s="53">
        <v>1</v>
      </c>
      <c r="B1084" s="109" t="s">
        <v>259</v>
      </c>
      <c r="C1084" s="53">
        <v>1</v>
      </c>
      <c r="D1084" s="19" t="s">
        <v>115</v>
      </c>
      <c r="E1084" s="13"/>
      <c r="F1084" s="55"/>
      <c r="G1084" s="65"/>
      <c r="H1084" s="65"/>
      <c r="I1084" s="43"/>
      <c r="J1084" s="52"/>
    </row>
    <row r="1085" spans="1:10" s="58" customFormat="1" ht="57.75" hidden="1" x14ac:dyDescent="0.25">
      <c r="A1085" s="53">
        <v>1</v>
      </c>
      <c r="B1085" s="109" t="s">
        <v>259</v>
      </c>
      <c r="C1085" s="53">
        <v>1</v>
      </c>
      <c r="D1085" s="21" t="s">
        <v>312</v>
      </c>
      <c r="E1085" s="13"/>
      <c r="F1085" s="501"/>
      <c r="G1085" s="65"/>
      <c r="H1085" s="65"/>
      <c r="I1085" s="43"/>
      <c r="J1085" s="52"/>
    </row>
    <row r="1086" spans="1:10" s="58" customFormat="1" hidden="1" x14ac:dyDescent="0.25">
      <c r="A1086" s="53">
        <v>1</v>
      </c>
      <c r="B1086" s="109" t="s">
        <v>259</v>
      </c>
      <c r="C1086" s="53">
        <v>1</v>
      </c>
      <c r="D1086" s="20" t="s">
        <v>158</v>
      </c>
      <c r="E1086" s="13"/>
      <c r="F1086" s="501">
        <f>F1087</f>
        <v>500</v>
      </c>
      <c r="G1086" s="65"/>
      <c r="H1086" s="65"/>
      <c r="I1086" s="43"/>
      <c r="J1086" s="52"/>
    </row>
    <row r="1087" spans="1:10" s="58" customFormat="1" ht="30" hidden="1" x14ac:dyDescent="0.25">
      <c r="A1087" s="53">
        <v>1</v>
      </c>
      <c r="B1087" s="109" t="s">
        <v>259</v>
      </c>
      <c r="C1087" s="53">
        <v>1</v>
      </c>
      <c r="D1087" s="126" t="s">
        <v>203</v>
      </c>
      <c r="E1087" s="13"/>
      <c r="F1087" s="501">
        <v>500</v>
      </c>
      <c r="G1087" s="65"/>
      <c r="H1087" s="65"/>
      <c r="I1087" s="43"/>
      <c r="J1087" s="52"/>
    </row>
    <row r="1088" spans="1:10" s="58" customFormat="1" hidden="1" x14ac:dyDescent="0.25">
      <c r="A1088" s="53">
        <v>1</v>
      </c>
      <c r="B1088" s="109" t="s">
        <v>259</v>
      </c>
      <c r="C1088" s="53">
        <v>1</v>
      </c>
      <c r="D1088" s="21" t="s">
        <v>198</v>
      </c>
      <c r="E1088" s="13"/>
      <c r="F1088" s="478">
        <f>F1071+F1051</f>
        <v>24000</v>
      </c>
      <c r="G1088" s="65"/>
      <c r="H1088" s="65"/>
      <c r="I1088" s="43"/>
      <c r="J1088" s="430"/>
    </row>
    <row r="1089" spans="1:10" s="58" customFormat="1" ht="29.25" hidden="1" x14ac:dyDescent="0.25">
      <c r="A1089" s="53">
        <v>1</v>
      </c>
      <c r="B1089" s="109" t="s">
        <v>259</v>
      </c>
      <c r="C1089" s="53">
        <v>1</v>
      </c>
      <c r="D1089" s="21" t="s">
        <v>199</v>
      </c>
      <c r="E1089" s="13"/>
      <c r="F1089" s="398">
        <f>F1060</f>
        <v>19811</v>
      </c>
      <c r="G1089" s="65"/>
      <c r="H1089" s="65"/>
      <c r="I1089" s="43"/>
      <c r="J1089" s="430"/>
    </row>
    <row r="1090" spans="1:10" s="58" customFormat="1" hidden="1" x14ac:dyDescent="0.25">
      <c r="A1090" s="53">
        <v>1</v>
      </c>
      <c r="B1090" s="109" t="s">
        <v>259</v>
      </c>
      <c r="C1090" s="53">
        <v>1</v>
      </c>
      <c r="D1090" s="21" t="s">
        <v>200</v>
      </c>
      <c r="E1090" s="13"/>
      <c r="F1090" s="398">
        <f>F1079+F1058</f>
        <v>33000</v>
      </c>
      <c r="G1090" s="65"/>
      <c r="H1090" s="65"/>
      <c r="I1090" s="43"/>
      <c r="J1090" s="430"/>
    </row>
    <row r="1091" spans="1:10" s="58" customFormat="1" ht="29.25" hidden="1" x14ac:dyDescent="0.25">
      <c r="A1091" s="53">
        <v>1</v>
      </c>
      <c r="B1091" s="109" t="s">
        <v>259</v>
      </c>
      <c r="C1091" s="53">
        <v>1</v>
      </c>
      <c r="D1091" s="21" t="s">
        <v>201</v>
      </c>
      <c r="E1091" s="13"/>
      <c r="F1091" s="398">
        <f>F1083</f>
        <v>14800</v>
      </c>
      <c r="G1091" s="65"/>
      <c r="H1091" s="65"/>
      <c r="I1091" s="43"/>
      <c r="J1091" s="430"/>
    </row>
    <row r="1092" spans="1:10" s="58" customFormat="1" hidden="1" x14ac:dyDescent="0.25">
      <c r="A1092" s="53">
        <v>1</v>
      </c>
      <c r="B1092" s="109" t="s">
        <v>259</v>
      </c>
      <c r="C1092" s="53">
        <v>1</v>
      </c>
      <c r="D1092" s="22" t="s">
        <v>109</v>
      </c>
      <c r="E1092" s="62"/>
      <c r="F1092" s="432">
        <f>F1088+F1089+F1091+F1090*2.9</f>
        <v>154311</v>
      </c>
      <c r="G1092" s="65"/>
      <c r="H1092" s="65"/>
      <c r="I1092" s="43"/>
      <c r="J1092" s="430"/>
    </row>
    <row r="1093" spans="1:10" hidden="1" x14ac:dyDescent="0.25">
      <c r="A1093" s="53">
        <v>1</v>
      </c>
      <c r="B1093" s="109" t="s">
        <v>259</v>
      </c>
      <c r="C1093" s="53">
        <v>1</v>
      </c>
      <c r="D1093" s="44" t="s">
        <v>7</v>
      </c>
      <c r="E1093" s="514"/>
      <c r="F1093" s="515"/>
      <c r="G1093" s="2"/>
      <c r="H1093" s="2"/>
      <c r="I1093" s="2"/>
    </row>
    <row r="1094" spans="1:10" hidden="1" x14ac:dyDescent="0.25">
      <c r="A1094" s="53">
        <v>1</v>
      </c>
      <c r="B1094" s="109" t="s">
        <v>259</v>
      </c>
      <c r="C1094" s="53">
        <v>1</v>
      </c>
      <c r="D1094" s="306" t="s">
        <v>71</v>
      </c>
      <c r="E1094" s="514"/>
      <c r="F1094" s="515"/>
      <c r="G1094" s="2"/>
      <c r="H1094" s="2"/>
      <c r="I1094" s="2"/>
    </row>
    <row r="1095" spans="1:10" hidden="1" x14ac:dyDescent="0.25">
      <c r="A1095" s="53"/>
      <c r="B1095" s="109" t="s">
        <v>259</v>
      </c>
      <c r="C1095" s="53">
        <v>1</v>
      </c>
      <c r="D1095" s="524" t="s">
        <v>170</v>
      </c>
      <c r="E1095" s="514">
        <v>240</v>
      </c>
      <c r="F1095" s="515">
        <v>57</v>
      </c>
      <c r="G1095" s="2">
        <v>1</v>
      </c>
      <c r="H1095" s="2">
        <f>ROUND(I1095/E1095,0)</f>
        <v>0</v>
      </c>
      <c r="I1095" s="2">
        <f>ROUND(F1095*G1095,0)</f>
        <v>57</v>
      </c>
    </row>
    <row r="1096" spans="1:10" hidden="1" x14ac:dyDescent="0.25">
      <c r="A1096" s="53">
        <v>1</v>
      </c>
      <c r="B1096" s="109" t="s">
        <v>259</v>
      </c>
      <c r="C1096" s="53">
        <v>1</v>
      </c>
      <c r="D1096" s="439" t="s">
        <v>24</v>
      </c>
      <c r="E1096" s="54">
        <v>240</v>
      </c>
      <c r="F1096" s="55">
        <v>715</v>
      </c>
      <c r="G1096" s="47">
        <v>8</v>
      </c>
      <c r="H1096" s="2">
        <f>ROUND(I1096/E1096,0)</f>
        <v>24</v>
      </c>
      <c r="I1096" s="2">
        <f>ROUND(F1096*G1096,0)</f>
        <v>5720</v>
      </c>
    </row>
    <row r="1097" spans="1:10" hidden="1" x14ac:dyDescent="0.25">
      <c r="A1097" s="53">
        <v>1</v>
      </c>
      <c r="B1097" s="109" t="s">
        <v>259</v>
      </c>
      <c r="C1097" s="53">
        <v>1</v>
      </c>
      <c r="D1097" s="497" t="s">
        <v>92</v>
      </c>
      <c r="E1097" s="54"/>
      <c r="F1097" s="459">
        <f>SUM(F1095:F1096)</f>
        <v>772</v>
      </c>
      <c r="G1097" s="476">
        <f>I1097/F1097</f>
        <v>7.483160621761658</v>
      </c>
      <c r="H1097" s="31">
        <f>SUM(H1095:H1096)</f>
        <v>24</v>
      </c>
      <c r="I1097" s="31">
        <f>SUM(I1095:I1096)</f>
        <v>5777</v>
      </c>
    </row>
    <row r="1098" spans="1:10" hidden="1" x14ac:dyDescent="0.25">
      <c r="A1098" s="53">
        <v>1</v>
      </c>
      <c r="B1098" s="109" t="s">
        <v>259</v>
      </c>
      <c r="C1098" s="53">
        <v>1</v>
      </c>
      <c r="D1098" s="500" t="s">
        <v>86</v>
      </c>
      <c r="E1098" s="54"/>
      <c r="F1098" s="446">
        <f>F1097</f>
        <v>772</v>
      </c>
      <c r="G1098" s="82">
        <f t="shared" ref="G1098:I1098" si="12">G1097</f>
        <v>7.483160621761658</v>
      </c>
      <c r="H1098" s="302">
        <f t="shared" si="12"/>
        <v>24</v>
      </c>
      <c r="I1098" s="302">
        <f t="shared" si="12"/>
        <v>5777</v>
      </c>
    </row>
    <row r="1099" spans="1:10" s="53" customFormat="1" ht="15.75" hidden="1" thickBot="1" x14ac:dyDescent="0.3">
      <c r="A1099" s="53">
        <v>1</v>
      </c>
      <c r="B1099" s="109" t="s">
        <v>259</v>
      </c>
      <c r="C1099" s="53">
        <v>1</v>
      </c>
      <c r="D1099" s="448" t="s">
        <v>220</v>
      </c>
      <c r="E1099" s="520"/>
      <c r="F1099" s="525"/>
      <c r="G1099" s="526"/>
      <c r="H1099" s="526"/>
      <c r="I1099" s="526"/>
      <c r="J1099" s="152"/>
    </row>
    <row r="1100" spans="1:10" hidden="1" x14ac:dyDescent="0.25">
      <c r="A1100" s="53">
        <v>1</v>
      </c>
      <c r="B1100" s="53"/>
      <c r="C1100" s="53">
        <v>1</v>
      </c>
      <c r="D1100" s="487"/>
      <c r="E1100" s="488"/>
      <c r="F1100" s="423"/>
      <c r="G1100" s="424"/>
      <c r="H1100" s="424"/>
      <c r="I1100" s="424"/>
    </row>
    <row r="1101" spans="1:10" ht="29.25" hidden="1" x14ac:dyDescent="0.25">
      <c r="A1101" s="53">
        <v>1</v>
      </c>
      <c r="B1101" s="109" t="s">
        <v>260</v>
      </c>
      <c r="C1101" s="53">
        <v>1</v>
      </c>
      <c r="D1101" s="674" t="s">
        <v>402</v>
      </c>
      <c r="E1101" s="54"/>
      <c r="F1101" s="55"/>
      <c r="G1101" s="2"/>
      <c r="H1101" s="2"/>
      <c r="I1101" s="2"/>
    </row>
    <row r="1102" spans="1:10" s="53" customFormat="1" hidden="1" x14ac:dyDescent="0.25">
      <c r="A1102" s="53">
        <v>1</v>
      </c>
      <c r="B1102" s="109" t="s">
        <v>260</v>
      </c>
      <c r="C1102" s="53">
        <v>1</v>
      </c>
      <c r="D1102" s="73" t="s">
        <v>108</v>
      </c>
      <c r="E1102" s="13"/>
      <c r="F1102" s="55"/>
      <c r="G1102" s="2"/>
      <c r="H1102" s="2"/>
      <c r="I1102" s="2"/>
      <c r="J1102" s="152"/>
    </row>
    <row r="1103" spans="1:10" s="53" customFormat="1" hidden="1" x14ac:dyDescent="0.25">
      <c r="B1103" s="109" t="s">
        <v>260</v>
      </c>
      <c r="C1103" s="53">
        <v>1</v>
      </c>
      <c r="D1103" s="12" t="s">
        <v>96</v>
      </c>
      <c r="E1103" s="13"/>
      <c r="F1103" s="55"/>
      <c r="G1103" s="2"/>
      <c r="H1103" s="2"/>
      <c r="I1103" s="2"/>
      <c r="J1103" s="152"/>
    </row>
    <row r="1104" spans="1:10" s="53" customFormat="1" hidden="1" x14ac:dyDescent="0.25">
      <c r="B1104" s="109" t="s">
        <v>260</v>
      </c>
      <c r="C1104" s="53">
        <v>1</v>
      </c>
      <c r="D1104" s="14" t="s">
        <v>296</v>
      </c>
      <c r="E1104" s="13"/>
      <c r="F1104" s="55">
        <f>F1105</f>
        <v>7920</v>
      </c>
      <c r="G1104" s="2"/>
      <c r="H1104" s="2"/>
      <c r="I1104" s="2"/>
      <c r="J1104" s="52"/>
    </row>
    <row r="1105" spans="1:10" s="53" customFormat="1" ht="30" hidden="1" x14ac:dyDescent="0.25">
      <c r="B1105" s="109" t="s">
        <v>260</v>
      </c>
      <c r="C1105" s="53">
        <v>1</v>
      </c>
      <c r="D1105" s="266" t="s">
        <v>298</v>
      </c>
      <c r="E1105" s="13"/>
      <c r="F1105" s="55">
        <f>F1106/4</f>
        <v>7920</v>
      </c>
      <c r="G1105" s="2"/>
      <c r="H1105" s="2"/>
      <c r="I1105" s="2"/>
      <c r="J1105" s="52"/>
    </row>
    <row r="1106" spans="1:10" s="53" customFormat="1" ht="30" hidden="1" x14ac:dyDescent="0.25">
      <c r="B1106" s="109" t="s">
        <v>260</v>
      </c>
      <c r="C1106" s="53">
        <v>1</v>
      </c>
      <c r="D1106" s="15" t="s">
        <v>300</v>
      </c>
      <c r="E1106" s="13"/>
      <c r="F1106" s="55">
        <v>31680</v>
      </c>
      <c r="G1106" s="2"/>
      <c r="H1106" s="2"/>
      <c r="I1106" s="2"/>
      <c r="J1106" s="52"/>
    </row>
    <row r="1107" spans="1:10" s="53" customFormat="1" hidden="1" x14ac:dyDescent="0.25">
      <c r="A1107" s="53">
        <v>1</v>
      </c>
      <c r="B1107" s="109" t="s">
        <v>260</v>
      </c>
      <c r="C1107" s="53">
        <v>1</v>
      </c>
      <c r="D1107" s="14" t="s">
        <v>303</v>
      </c>
      <c r="E1107" s="13"/>
      <c r="F1107" s="55">
        <f>F1108</f>
        <v>29973.297872340423</v>
      </c>
      <c r="G1107" s="2"/>
      <c r="H1107" s="2"/>
      <c r="I1107" s="2"/>
      <c r="J1107" s="52"/>
    </row>
    <row r="1108" spans="1:10" s="53" customFormat="1" hidden="1" x14ac:dyDescent="0.25">
      <c r="B1108" s="109" t="s">
        <v>260</v>
      </c>
      <c r="C1108" s="53">
        <v>1</v>
      </c>
      <c r="D1108" s="15" t="s">
        <v>305</v>
      </c>
      <c r="E1108" s="13"/>
      <c r="F1108" s="55">
        <f>F1109/9.4+F1110/9.4</f>
        <v>29973.297872340423</v>
      </c>
      <c r="G1108" s="2"/>
      <c r="H1108" s="2"/>
      <c r="I1108" s="2"/>
      <c r="J1108" s="52"/>
    </row>
    <row r="1109" spans="1:10" s="53" customFormat="1" hidden="1" x14ac:dyDescent="0.25">
      <c r="A1109" s="53">
        <v>1</v>
      </c>
      <c r="B1109" s="109" t="s">
        <v>260</v>
      </c>
      <c r="C1109" s="53">
        <v>1</v>
      </c>
      <c r="D1109" s="42" t="s">
        <v>314</v>
      </c>
      <c r="E1109" s="24"/>
      <c r="F1109" s="55">
        <v>276249</v>
      </c>
      <c r="G1109" s="24"/>
      <c r="H1109" s="24"/>
      <c r="I1109" s="24"/>
      <c r="J1109" s="52"/>
    </row>
    <row r="1110" spans="1:10" s="53" customFormat="1" hidden="1" x14ac:dyDescent="0.25">
      <c r="A1110" s="53">
        <v>1</v>
      </c>
      <c r="B1110" s="109" t="s">
        <v>260</v>
      </c>
      <c r="C1110" s="53">
        <v>1</v>
      </c>
      <c r="D1110" s="42" t="s">
        <v>317</v>
      </c>
      <c r="E1110" s="13"/>
      <c r="F1110" s="55">
        <v>5500</v>
      </c>
      <c r="G1110" s="2"/>
      <c r="H1110" s="2"/>
      <c r="I1110" s="2"/>
      <c r="J1110" s="52"/>
    </row>
    <row r="1111" spans="1:10" s="53" customFormat="1" hidden="1" x14ac:dyDescent="0.25">
      <c r="A1111" s="53">
        <v>1</v>
      </c>
      <c r="B1111" s="109" t="s">
        <v>260</v>
      </c>
      <c r="C1111" s="53">
        <v>1</v>
      </c>
      <c r="D1111" s="21" t="s">
        <v>198</v>
      </c>
      <c r="E1111" s="13"/>
      <c r="F1111" s="398">
        <f>F1104</f>
        <v>7920</v>
      </c>
      <c r="G1111" s="2"/>
      <c r="H1111" s="2"/>
      <c r="I1111" s="2"/>
      <c r="J1111" s="52"/>
    </row>
    <row r="1112" spans="1:10" s="53" customFormat="1" hidden="1" x14ac:dyDescent="0.25">
      <c r="A1112" s="53">
        <v>1</v>
      </c>
      <c r="B1112" s="109" t="s">
        <v>260</v>
      </c>
      <c r="C1112" s="53">
        <v>1</v>
      </c>
      <c r="D1112" s="21" t="s">
        <v>200</v>
      </c>
      <c r="E1112" s="13"/>
      <c r="F1112" s="398">
        <f>F1107</f>
        <v>29973.297872340423</v>
      </c>
      <c r="G1112" s="2"/>
      <c r="H1112" s="2"/>
      <c r="I1112" s="2"/>
      <c r="J1112" s="52"/>
    </row>
    <row r="1113" spans="1:10" s="53" customFormat="1" hidden="1" x14ac:dyDescent="0.25">
      <c r="A1113" s="53">
        <v>1</v>
      </c>
      <c r="B1113" s="109" t="s">
        <v>260</v>
      </c>
      <c r="C1113" s="53">
        <v>1</v>
      </c>
      <c r="D1113" s="22" t="s">
        <v>109</v>
      </c>
      <c r="E1113" s="13"/>
      <c r="F1113" s="398">
        <f>(F1109+F1110)/4.2+F1111</f>
        <v>75003.095238095237</v>
      </c>
      <c r="G1113" s="2"/>
      <c r="H1113" s="2"/>
      <c r="I1113" s="2"/>
      <c r="J1113" s="52"/>
    </row>
    <row r="1114" spans="1:10" ht="15.75" hidden="1" thickBot="1" x14ac:dyDescent="0.3">
      <c r="A1114" s="53">
        <v>1</v>
      </c>
      <c r="B1114" s="109" t="s">
        <v>260</v>
      </c>
      <c r="C1114" s="53">
        <v>1</v>
      </c>
      <c r="D1114" s="527" t="s">
        <v>220</v>
      </c>
      <c r="E1114" s="449"/>
      <c r="F1114" s="528"/>
      <c r="G1114" s="449"/>
      <c r="H1114" s="449"/>
      <c r="I1114" s="449"/>
    </row>
    <row r="1115" spans="1:10" hidden="1" x14ac:dyDescent="0.25">
      <c r="A1115" s="53">
        <v>1</v>
      </c>
      <c r="B1115" s="53"/>
      <c r="C1115" s="53">
        <v>1</v>
      </c>
      <c r="D1115" s="487"/>
      <c r="E1115" s="488"/>
      <c r="F1115" s="423"/>
      <c r="G1115" s="424"/>
      <c r="H1115" s="424"/>
      <c r="I1115" s="424"/>
    </row>
    <row r="1116" spans="1:10" ht="29.25" hidden="1" x14ac:dyDescent="0.25">
      <c r="A1116" s="53">
        <v>1</v>
      </c>
      <c r="B1116" s="109" t="s">
        <v>261</v>
      </c>
      <c r="C1116" s="53">
        <v>1</v>
      </c>
      <c r="D1116" s="674" t="s">
        <v>403</v>
      </c>
      <c r="E1116" s="54"/>
      <c r="F1116" s="55"/>
      <c r="G1116" s="2"/>
      <c r="H1116" s="2"/>
      <c r="I1116" s="2"/>
    </row>
    <row r="1117" spans="1:10" s="58" customFormat="1" ht="45" hidden="1" customHeight="1" x14ac:dyDescent="0.25">
      <c r="A1117" s="53">
        <v>1</v>
      </c>
      <c r="B1117" s="109" t="s">
        <v>261</v>
      </c>
      <c r="C1117" s="53">
        <v>1</v>
      </c>
      <c r="D1117" s="101" t="s">
        <v>294</v>
      </c>
      <c r="E1117" s="12"/>
      <c r="F1117" s="429"/>
      <c r="G1117" s="57"/>
      <c r="H1117" s="57"/>
      <c r="I1117" s="57"/>
      <c r="J1117" s="430"/>
    </row>
    <row r="1118" spans="1:10" s="58" customFormat="1" hidden="1" x14ac:dyDescent="0.25">
      <c r="A1118" s="53"/>
      <c r="B1118" s="109" t="s">
        <v>261</v>
      </c>
      <c r="C1118" s="53">
        <v>1</v>
      </c>
      <c r="D1118" s="14" t="s">
        <v>187</v>
      </c>
      <c r="E1118" s="12"/>
      <c r="F1118" s="429">
        <f>F1120+F1121+F1123</f>
        <v>16700</v>
      </c>
      <c r="G1118" s="57"/>
      <c r="H1118" s="57"/>
      <c r="I1118" s="57"/>
      <c r="J1118" s="430"/>
    </row>
    <row r="1119" spans="1:10" s="58" customFormat="1" hidden="1" x14ac:dyDescent="0.25">
      <c r="A1119" s="53"/>
      <c r="B1119" s="109" t="s">
        <v>261</v>
      </c>
      <c r="C1119" s="53">
        <v>1</v>
      </c>
      <c r="D1119" s="18" t="s">
        <v>113</v>
      </c>
      <c r="E1119" s="12"/>
      <c r="F1119" s="429"/>
      <c r="G1119" s="57"/>
      <c r="H1119" s="57"/>
      <c r="I1119" s="57"/>
      <c r="J1119" s="430"/>
    </row>
    <row r="1120" spans="1:10" s="58" customFormat="1" ht="30" hidden="1" x14ac:dyDescent="0.25">
      <c r="A1120" s="53"/>
      <c r="B1120" s="109" t="s">
        <v>261</v>
      </c>
      <c r="C1120" s="53">
        <v>1</v>
      </c>
      <c r="D1120" s="18" t="s">
        <v>114</v>
      </c>
      <c r="E1120" s="12"/>
      <c r="F1120" s="59">
        <v>2000</v>
      </c>
      <c r="G1120" s="57"/>
      <c r="H1120" s="57"/>
      <c r="I1120" s="57"/>
      <c r="J1120" s="430"/>
    </row>
    <row r="1121" spans="1:10" s="58" customFormat="1" ht="30" hidden="1" x14ac:dyDescent="0.25">
      <c r="A1121" s="53"/>
      <c r="B1121" s="109" t="s">
        <v>261</v>
      </c>
      <c r="C1121" s="53">
        <v>1</v>
      </c>
      <c r="D1121" s="15" t="s">
        <v>361</v>
      </c>
      <c r="E1121" s="12"/>
      <c r="F1121" s="59">
        <v>9500</v>
      </c>
      <c r="G1121" s="57"/>
      <c r="H1121" s="57"/>
      <c r="I1121" s="57"/>
      <c r="J1121" s="430"/>
    </row>
    <row r="1122" spans="1:10" s="58" customFormat="1" ht="45" hidden="1" x14ac:dyDescent="0.25">
      <c r="A1122" s="53"/>
      <c r="B1122" s="109" t="s">
        <v>261</v>
      </c>
      <c r="C1122" s="53">
        <v>1</v>
      </c>
      <c r="D1122" s="15" t="s">
        <v>219</v>
      </c>
      <c r="E1122" s="12"/>
      <c r="F1122" s="59"/>
      <c r="G1122" s="57"/>
      <c r="H1122" s="57"/>
      <c r="I1122" s="57"/>
      <c r="J1122" s="430"/>
    </row>
    <row r="1123" spans="1:10" s="58" customFormat="1" ht="45" hidden="1" x14ac:dyDescent="0.25">
      <c r="A1123" s="53"/>
      <c r="B1123" s="109" t="s">
        <v>261</v>
      </c>
      <c r="C1123" s="53">
        <v>1</v>
      </c>
      <c r="D1123" s="15" t="s">
        <v>188</v>
      </c>
      <c r="E1123" s="12"/>
      <c r="F1123" s="59">
        <v>5200</v>
      </c>
      <c r="G1123" s="57"/>
      <c r="H1123" s="57"/>
      <c r="I1123" s="57"/>
      <c r="J1123" s="430"/>
    </row>
    <row r="1124" spans="1:10" s="58" customFormat="1" ht="75" hidden="1" x14ac:dyDescent="0.25">
      <c r="A1124" s="53"/>
      <c r="B1124" s="109"/>
      <c r="C1124" s="53">
        <v>1</v>
      </c>
      <c r="D1124" s="15" t="s">
        <v>353</v>
      </c>
      <c r="E1124" s="12"/>
      <c r="F1124" s="59">
        <v>2000</v>
      </c>
      <c r="G1124" s="57"/>
      <c r="H1124" s="57"/>
      <c r="I1124" s="57"/>
      <c r="J1124" s="430"/>
    </row>
    <row r="1125" spans="1:10" s="58" customFormat="1" hidden="1" x14ac:dyDescent="0.25">
      <c r="A1125" s="53"/>
      <c r="B1125" s="109" t="s">
        <v>261</v>
      </c>
      <c r="C1125" s="53">
        <v>1</v>
      </c>
      <c r="D1125" s="60" t="s">
        <v>88</v>
      </c>
      <c r="E1125" s="12"/>
      <c r="F1125" s="429">
        <f>F1126</f>
        <v>25000</v>
      </c>
      <c r="G1125" s="57"/>
      <c r="H1125" s="57"/>
      <c r="I1125" s="57"/>
      <c r="J1125" s="430"/>
    </row>
    <row r="1126" spans="1:10" s="58" customFormat="1" hidden="1" x14ac:dyDescent="0.25">
      <c r="A1126" s="53"/>
      <c r="B1126" s="109" t="s">
        <v>261</v>
      </c>
      <c r="C1126" s="53">
        <v>1</v>
      </c>
      <c r="D1126" s="19" t="s">
        <v>145</v>
      </c>
      <c r="E1126" s="12"/>
      <c r="F1126" s="59">
        <v>25000</v>
      </c>
      <c r="G1126" s="57"/>
      <c r="H1126" s="57"/>
      <c r="I1126" s="57"/>
      <c r="J1126" s="430"/>
    </row>
    <row r="1127" spans="1:10" s="58" customFormat="1" ht="47.25" hidden="1" x14ac:dyDescent="0.25">
      <c r="A1127" s="53"/>
      <c r="B1127" s="109" t="s">
        <v>261</v>
      </c>
      <c r="C1127" s="53">
        <v>1</v>
      </c>
      <c r="D1127" s="61" t="s">
        <v>283</v>
      </c>
      <c r="E1127" s="12"/>
      <c r="F1127" s="429">
        <f>F1128+F1133</f>
        <v>22608</v>
      </c>
      <c r="G1127" s="57"/>
      <c r="H1127" s="57"/>
      <c r="I1127" s="57"/>
      <c r="J1127" s="430"/>
    </row>
    <row r="1128" spans="1:10" s="58" customFormat="1" ht="15" hidden="1" customHeight="1" x14ac:dyDescent="0.25">
      <c r="A1128" s="53"/>
      <c r="B1128" s="109" t="s">
        <v>261</v>
      </c>
      <c r="C1128" s="53">
        <v>1</v>
      </c>
      <c r="D1128" s="16" t="s">
        <v>189</v>
      </c>
      <c r="E1128" s="12"/>
      <c r="F1128" s="429">
        <f>SUM(F1129:F1132)</f>
        <v>108</v>
      </c>
      <c r="G1128" s="57"/>
      <c r="H1128" s="57"/>
      <c r="I1128" s="57"/>
      <c r="J1128" s="430"/>
    </row>
    <row r="1129" spans="1:10" s="58" customFormat="1" ht="19.5" hidden="1" customHeight="1" x14ac:dyDescent="0.25">
      <c r="A1129" s="53"/>
      <c r="B1129" s="109" t="s">
        <v>261</v>
      </c>
      <c r="C1129" s="53">
        <v>1</v>
      </c>
      <c r="D1129" s="15" t="s">
        <v>190</v>
      </c>
      <c r="E1129" s="12"/>
      <c r="F1129" s="429"/>
      <c r="G1129" s="57"/>
      <c r="H1129" s="57"/>
      <c r="I1129" s="57"/>
      <c r="J1129" s="430"/>
    </row>
    <row r="1130" spans="1:10" s="58" customFormat="1" ht="45" hidden="1" x14ac:dyDescent="0.25">
      <c r="A1130" s="53"/>
      <c r="B1130" s="109" t="s">
        <v>261</v>
      </c>
      <c r="C1130" s="53">
        <v>1</v>
      </c>
      <c r="D1130" s="15" t="s">
        <v>191</v>
      </c>
      <c r="E1130" s="12"/>
      <c r="F1130" s="429"/>
      <c r="G1130" s="57"/>
      <c r="H1130" s="57"/>
      <c r="I1130" s="57"/>
      <c r="J1130" s="430"/>
    </row>
    <row r="1131" spans="1:10" s="58" customFormat="1" ht="30" hidden="1" x14ac:dyDescent="0.25">
      <c r="A1131" s="53"/>
      <c r="B1131" s="109" t="s">
        <v>261</v>
      </c>
      <c r="C1131" s="53">
        <v>1</v>
      </c>
      <c r="D1131" s="15" t="s">
        <v>192</v>
      </c>
      <c r="E1131" s="12"/>
      <c r="F1131" s="59"/>
      <c r="G1131" s="57"/>
      <c r="H1131" s="57"/>
      <c r="I1131" s="57"/>
      <c r="J1131" s="430"/>
    </row>
    <row r="1132" spans="1:10" s="58" customFormat="1" ht="30" hidden="1" x14ac:dyDescent="0.25">
      <c r="A1132" s="53">
        <v>1</v>
      </c>
      <c r="B1132" s="109" t="s">
        <v>261</v>
      </c>
      <c r="C1132" s="53">
        <v>1</v>
      </c>
      <c r="D1132" s="15" t="s">
        <v>193</v>
      </c>
      <c r="E1132" s="62"/>
      <c r="F1132" s="63">
        <v>108</v>
      </c>
      <c r="G1132" s="57"/>
      <c r="H1132" s="57"/>
      <c r="I1132" s="57"/>
      <c r="J1132" s="430"/>
    </row>
    <row r="1133" spans="1:10" s="58" customFormat="1" ht="30" hidden="1" x14ac:dyDescent="0.25">
      <c r="A1133" s="53">
        <v>1</v>
      </c>
      <c r="B1133" s="109" t="s">
        <v>261</v>
      </c>
      <c r="C1133" s="53">
        <v>1</v>
      </c>
      <c r="D1133" s="16" t="s">
        <v>194</v>
      </c>
      <c r="E1133" s="62"/>
      <c r="F1133" s="432">
        <f>SUM(F1134:F1136)</f>
        <v>22500</v>
      </c>
      <c r="G1133" s="57"/>
      <c r="H1133" s="57"/>
      <c r="I1133" s="57"/>
      <c r="J1133" s="430"/>
    </row>
    <row r="1134" spans="1:10" s="58" customFormat="1" ht="30" hidden="1" x14ac:dyDescent="0.25">
      <c r="A1134" s="53">
        <v>1</v>
      </c>
      <c r="B1134" s="109" t="s">
        <v>261</v>
      </c>
      <c r="C1134" s="53">
        <v>1</v>
      </c>
      <c r="D1134" s="15" t="s">
        <v>195</v>
      </c>
      <c r="E1134" s="62"/>
      <c r="F1134" s="55"/>
      <c r="G1134" s="57"/>
      <c r="H1134" s="57"/>
      <c r="I1134" s="57"/>
      <c r="J1134" s="430"/>
    </row>
    <row r="1135" spans="1:10" s="58" customFormat="1" ht="45" hidden="1" x14ac:dyDescent="0.25">
      <c r="A1135" s="53">
        <v>1</v>
      </c>
      <c r="B1135" s="109" t="s">
        <v>261</v>
      </c>
      <c r="C1135" s="53">
        <v>1</v>
      </c>
      <c r="D1135" s="15" t="s">
        <v>196</v>
      </c>
      <c r="E1135" s="62"/>
      <c r="F1135" s="55">
        <v>14500</v>
      </c>
      <c r="G1135" s="57"/>
      <c r="H1135" s="57"/>
      <c r="I1135" s="57"/>
      <c r="J1135" s="430"/>
    </row>
    <row r="1136" spans="1:10" s="58" customFormat="1" ht="45" hidden="1" x14ac:dyDescent="0.25">
      <c r="A1136" s="53">
        <v>1</v>
      </c>
      <c r="B1136" s="109" t="s">
        <v>261</v>
      </c>
      <c r="C1136" s="53">
        <v>1</v>
      </c>
      <c r="D1136" s="15" t="s">
        <v>197</v>
      </c>
      <c r="E1136" s="62"/>
      <c r="F1136" s="55">
        <v>8000</v>
      </c>
      <c r="G1136" s="57"/>
      <c r="H1136" s="57"/>
      <c r="I1136" s="57"/>
      <c r="J1136" s="430"/>
    </row>
    <row r="1137" spans="1:10" s="58" customFormat="1" hidden="1" x14ac:dyDescent="0.25">
      <c r="A1137" s="53"/>
      <c r="B1137" s="109"/>
      <c r="C1137" s="53">
        <v>1</v>
      </c>
      <c r="D1137" s="12" t="s">
        <v>96</v>
      </c>
      <c r="E1137" s="62"/>
      <c r="F1137" s="55"/>
      <c r="G1137" s="78"/>
      <c r="H1137" s="78"/>
      <c r="I1137" s="78"/>
      <c r="J1137" s="430"/>
    </row>
    <row r="1138" spans="1:10" hidden="1" x14ac:dyDescent="0.25">
      <c r="A1138" s="53">
        <v>1</v>
      </c>
      <c r="B1138" s="109" t="s">
        <v>261</v>
      </c>
      <c r="C1138" s="53">
        <v>1</v>
      </c>
      <c r="D1138" s="14" t="s">
        <v>296</v>
      </c>
      <c r="E1138" s="13"/>
      <c r="F1138" s="55"/>
      <c r="G1138" s="2"/>
      <c r="H1138" s="2"/>
      <c r="I1138" s="2"/>
    </row>
    <row r="1139" spans="1:10" s="58" customFormat="1" hidden="1" x14ac:dyDescent="0.25">
      <c r="A1139" s="53">
        <v>1</v>
      </c>
      <c r="B1139" s="109" t="s">
        <v>261</v>
      </c>
      <c r="C1139" s="53">
        <v>1</v>
      </c>
      <c r="D1139" s="15" t="s">
        <v>297</v>
      </c>
      <c r="E1139" s="281"/>
      <c r="F1139" s="55"/>
      <c r="G1139" s="57"/>
      <c r="H1139" s="57"/>
      <c r="I1139" s="57"/>
      <c r="J1139" s="52"/>
    </row>
    <row r="1140" spans="1:10" s="58" customFormat="1" ht="30" hidden="1" x14ac:dyDescent="0.25">
      <c r="A1140" s="53">
        <v>1</v>
      </c>
      <c r="B1140" s="109" t="s">
        <v>261</v>
      </c>
      <c r="C1140" s="53">
        <v>1</v>
      </c>
      <c r="D1140" s="16" t="s">
        <v>298</v>
      </c>
      <c r="E1140" s="64"/>
      <c r="F1140" s="432"/>
      <c r="G1140" s="65"/>
      <c r="H1140" s="65"/>
      <c r="I1140" s="43"/>
      <c r="J1140" s="52"/>
    </row>
    <row r="1141" spans="1:10" s="124" customFormat="1" hidden="1" x14ac:dyDescent="0.25">
      <c r="A1141" s="104"/>
      <c r="B1141" s="109" t="s">
        <v>261</v>
      </c>
      <c r="C1141" s="53">
        <v>1</v>
      </c>
      <c r="D1141" s="15" t="s">
        <v>299</v>
      </c>
      <c r="E1141" s="13"/>
      <c r="F1141" s="17"/>
      <c r="G1141" s="10"/>
      <c r="H1141" s="10"/>
      <c r="I1141" s="10"/>
      <c r="J1141" s="52"/>
    </row>
    <row r="1142" spans="1:10" s="58" customFormat="1" ht="30" hidden="1" x14ac:dyDescent="0.25">
      <c r="A1142" s="53">
        <v>1</v>
      </c>
      <c r="B1142" s="109" t="s">
        <v>261</v>
      </c>
      <c r="C1142" s="53">
        <v>1</v>
      </c>
      <c r="D1142" s="15" t="s">
        <v>300</v>
      </c>
      <c r="E1142" s="13"/>
      <c r="F1142" s="55"/>
      <c r="G1142" s="65"/>
      <c r="H1142" s="65"/>
      <c r="I1142" s="43"/>
      <c r="J1142" s="52"/>
    </row>
    <row r="1143" spans="1:10" s="58" customFormat="1" ht="45" hidden="1" x14ac:dyDescent="0.25">
      <c r="A1143" s="53">
        <v>1</v>
      </c>
      <c r="B1143" s="109" t="s">
        <v>261</v>
      </c>
      <c r="C1143" s="53">
        <v>1</v>
      </c>
      <c r="D1143" s="15" t="s">
        <v>301</v>
      </c>
      <c r="E1143" s="13"/>
      <c r="F1143" s="55"/>
      <c r="G1143" s="65"/>
      <c r="H1143" s="65"/>
      <c r="I1143" s="43"/>
      <c r="J1143" s="52"/>
    </row>
    <row r="1144" spans="1:10" s="58" customFormat="1" ht="45" hidden="1" x14ac:dyDescent="0.25">
      <c r="A1144" s="53">
        <v>1</v>
      </c>
      <c r="B1144" s="109" t="s">
        <v>261</v>
      </c>
      <c r="C1144" s="53">
        <v>1</v>
      </c>
      <c r="D1144" s="15" t="s">
        <v>309</v>
      </c>
      <c r="E1144" s="13"/>
      <c r="F1144" s="63"/>
      <c r="G1144" s="65"/>
      <c r="H1144" s="65"/>
      <c r="I1144" s="43"/>
      <c r="J1144" s="52"/>
    </row>
    <row r="1145" spans="1:10" s="58" customFormat="1" ht="45" hidden="1" x14ac:dyDescent="0.25">
      <c r="A1145" s="53">
        <v>1</v>
      </c>
      <c r="B1145" s="109" t="s">
        <v>261</v>
      </c>
      <c r="C1145" s="53">
        <v>1</v>
      </c>
      <c r="D1145" s="18" t="s">
        <v>310</v>
      </c>
      <c r="E1145" s="13"/>
      <c r="F1145" s="63"/>
      <c r="G1145" s="65"/>
      <c r="H1145" s="65"/>
      <c r="I1145" s="43"/>
      <c r="J1145" s="52"/>
    </row>
    <row r="1146" spans="1:10" s="58" customFormat="1" hidden="1" x14ac:dyDescent="0.25">
      <c r="A1146" s="53">
        <v>1</v>
      </c>
      <c r="B1146" s="109" t="s">
        <v>261</v>
      </c>
      <c r="C1146" s="53">
        <v>1</v>
      </c>
      <c r="D1146" s="14" t="s">
        <v>303</v>
      </c>
      <c r="E1146" s="13"/>
      <c r="F1146" s="63"/>
      <c r="G1146" s="65"/>
      <c r="H1146" s="65"/>
      <c r="I1146" s="43"/>
      <c r="J1146" s="52"/>
    </row>
    <row r="1147" spans="1:10" s="58" customFormat="1" hidden="1" x14ac:dyDescent="0.25">
      <c r="A1147" s="53">
        <v>1</v>
      </c>
      <c r="B1147" s="109" t="s">
        <v>261</v>
      </c>
      <c r="C1147" s="53">
        <v>1</v>
      </c>
      <c r="D1147" s="14" t="s">
        <v>304</v>
      </c>
      <c r="E1147" s="13"/>
      <c r="F1147" s="63"/>
      <c r="G1147" s="65"/>
      <c r="H1147" s="65"/>
      <c r="I1147" s="43"/>
      <c r="J1147" s="52"/>
    </row>
    <row r="1148" spans="1:10" s="58" customFormat="1" hidden="1" x14ac:dyDescent="0.25">
      <c r="A1148" s="53">
        <v>1</v>
      </c>
      <c r="B1148" s="109" t="s">
        <v>261</v>
      </c>
      <c r="C1148" s="53">
        <v>1</v>
      </c>
      <c r="D1148" s="15" t="s">
        <v>305</v>
      </c>
      <c r="E1148" s="13"/>
      <c r="F1148" s="63"/>
      <c r="G1148" s="65"/>
      <c r="H1148" s="65"/>
      <c r="I1148" s="43"/>
      <c r="J1148" s="52"/>
    </row>
    <row r="1149" spans="1:10" s="58" customFormat="1" hidden="1" x14ac:dyDescent="0.25">
      <c r="A1149" s="53">
        <v>1</v>
      </c>
      <c r="B1149" s="109" t="s">
        <v>261</v>
      </c>
      <c r="C1149" s="53">
        <v>1</v>
      </c>
      <c r="D1149" s="42" t="s">
        <v>314</v>
      </c>
      <c r="E1149" s="13"/>
      <c r="F1149" s="75"/>
      <c r="G1149" s="65"/>
      <c r="H1149" s="65"/>
      <c r="I1149" s="43"/>
      <c r="J1149" s="52"/>
    </row>
    <row r="1150" spans="1:10" s="58" customFormat="1" ht="29.25" hidden="1" x14ac:dyDescent="0.25">
      <c r="A1150" s="53">
        <v>1</v>
      </c>
      <c r="B1150" s="109" t="s">
        <v>261</v>
      </c>
      <c r="C1150" s="53">
        <v>1</v>
      </c>
      <c r="D1150" s="14" t="s">
        <v>306</v>
      </c>
      <c r="E1150" s="13"/>
      <c r="F1150" s="55">
        <v>10157</v>
      </c>
      <c r="G1150" s="65"/>
      <c r="H1150" s="65"/>
      <c r="I1150" s="43"/>
      <c r="J1150" s="52"/>
    </row>
    <row r="1151" spans="1:10" s="58" customFormat="1" hidden="1" x14ac:dyDescent="0.25">
      <c r="A1151" s="53">
        <v>1</v>
      </c>
      <c r="B1151" s="109" t="s">
        <v>261</v>
      </c>
      <c r="C1151" s="53">
        <v>1</v>
      </c>
      <c r="D1151" s="19" t="s">
        <v>115</v>
      </c>
      <c r="E1151" s="13"/>
      <c r="F1151" s="55"/>
      <c r="G1151" s="65"/>
      <c r="H1151" s="65"/>
      <c r="I1151" s="43"/>
      <c r="J1151" s="52"/>
    </row>
    <row r="1152" spans="1:10" s="58" customFormat="1" ht="57.75" hidden="1" x14ac:dyDescent="0.25">
      <c r="A1152" s="53">
        <v>1</v>
      </c>
      <c r="B1152" s="109" t="s">
        <v>261</v>
      </c>
      <c r="C1152" s="53">
        <v>1</v>
      </c>
      <c r="D1152" s="21" t="s">
        <v>312</v>
      </c>
      <c r="E1152" s="13"/>
      <c r="F1152" s="501"/>
      <c r="G1152" s="65"/>
      <c r="H1152" s="65"/>
      <c r="I1152" s="43"/>
      <c r="J1152" s="52"/>
    </row>
    <row r="1153" spans="1:10" s="58" customFormat="1" hidden="1" x14ac:dyDescent="0.25">
      <c r="A1153" s="53">
        <v>1</v>
      </c>
      <c r="B1153" s="109" t="s">
        <v>261</v>
      </c>
      <c r="C1153" s="53">
        <v>1</v>
      </c>
      <c r="D1153" s="20" t="s">
        <v>158</v>
      </c>
      <c r="E1153" s="13"/>
      <c r="F1153" s="501">
        <f>F1154+F1155</f>
        <v>600</v>
      </c>
      <c r="G1153" s="65"/>
      <c r="H1153" s="65"/>
      <c r="I1153" s="43"/>
      <c r="J1153" s="52"/>
    </row>
    <row r="1154" spans="1:10" s="58" customFormat="1" ht="30" hidden="1" x14ac:dyDescent="0.25">
      <c r="A1154" s="53">
        <v>1</v>
      </c>
      <c r="B1154" s="109" t="s">
        <v>261</v>
      </c>
      <c r="C1154" s="53">
        <v>1</v>
      </c>
      <c r="D1154" s="126" t="s">
        <v>202</v>
      </c>
      <c r="E1154" s="13"/>
      <c r="F1154" s="501">
        <v>300</v>
      </c>
      <c r="G1154" s="65"/>
      <c r="H1154" s="65"/>
      <c r="I1154" s="43"/>
      <c r="J1154" s="52"/>
    </row>
    <row r="1155" spans="1:10" s="58" customFormat="1" ht="30" hidden="1" x14ac:dyDescent="0.25">
      <c r="A1155" s="53">
        <v>1</v>
      </c>
      <c r="B1155" s="109" t="s">
        <v>261</v>
      </c>
      <c r="C1155" s="53">
        <v>1</v>
      </c>
      <c r="D1155" s="126" t="s">
        <v>203</v>
      </c>
      <c r="E1155" s="13"/>
      <c r="F1155" s="501">
        <v>300</v>
      </c>
      <c r="G1155" s="65"/>
      <c r="H1155" s="65"/>
      <c r="I1155" s="43"/>
      <c r="J1155" s="52"/>
    </row>
    <row r="1156" spans="1:10" s="58" customFormat="1" hidden="1" x14ac:dyDescent="0.25">
      <c r="A1156" s="53">
        <v>1</v>
      </c>
      <c r="B1156" s="109" t="s">
        <v>261</v>
      </c>
      <c r="C1156" s="53">
        <v>1</v>
      </c>
      <c r="D1156" s="21" t="s">
        <v>198</v>
      </c>
      <c r="E1156" s="13"/>
      <c r="F1156" s="398">
        <f>F1118+F1138</f>
        <v>16700</v>
      </c>
      <c r="G1156" s="65"/>
      <c r="H1156" s="65"/>
      <c r="I1156" s="43"/>
      <c r="J1156" s="430"/>
    </row>
    <row r="1157" spans="1:10" s="58" customFormat="1" ht="29.25" hidden="1" x14ac:dyDescent="0.25">
      <c r="A1157" s="53">
        <v>1</v>
      </c>
      <c r="B1157" s="109" t="s">
        <v>261</v>
      </c>
      <c r="C1157" s="53">
        <v>1</v>
      </c>
      <c r="D1157" s="21" t="s">
        <v>199</v>
      </c>
      <c r="E1157" s="13"/>
      <c r="F1157" s="398">
        <f>F1127</f>
        <v>22608</v>
      </c>
      <c r="G1157" s="65"/>
      <c r="H1157" s="65"/>
      <c r="I1157" s="43"/>
      <c r="J1157" s="430"/>
    </row>
    <row r="1158" spans="1:10" s="58" customFormat="1" hidden="1" x14ac:dyDescent="0.25">
      <c r="A1158" s="53">
        <v>1</v>
      </c>
      <c r="B1158" s="109" t="s">
        <v>261</v>
      </c>
      <c r="C1158" s="53">
        <v>1</v>
      </c>
      <c r="D1158" s="21" t="s">
        <v>200</v>
      </c>
      <c r="E1158" s="13"/>
      <c r="F1158" s="398">
        <f>F1146+F1125</f>
        <v>25000</v>
      </c>
      <c r="G1158" s="65"/>
      <c r="H1158" s="65"/>
      <c r="I1158" s="43"/>
      <c r="J1158" s="430"/>
    </row>
    <row r="1159" spans="1:10" s="58" customFormat="1" ht="29.25" hidden="1" x14ac:dyDescent="0.25">
      <c r="A1159" s="53">
        <v>1</v>
      </c>
      <c r="B1159" s="109" t="s">
        <v>261</v>
      </c>
      <c r="C1159" s="53">
        <v>1</v>
      </c>
      <c r="D1159" s="21" t="s">
        <v>201</v>
      </c>
      <c r="E1159" s="62"/>
      <c r="F1159" s="432">
        <f>F1150</f>
        <v>10157</v>
      </c>
      <c r="G1159" s="65"/>
      <c r="H1159" s="65"/>
      <c r="I1159" s="43"/>
      <c r="J1159" s="430"/>
    </row>
    <row r="1160" spans="1:10" s="58" customFormat="1" hidden="1" x14ac:dyDescent="0.25">
      <c r="A1160" s="53">
        <v>1</v>
      </c>
      <c r="B1160" s="109" t="s">
        <v>261</v>
      </c>
      <c r="C1160" s="53">
        <v>1</v>
      </c>
      <c r="D1160" s="22" t="s">
        <v>109</v>
      </c>
      <c r="E1160" s="13"/>
      <c r="F1160" s="398">
        <f>F1156+F1157+F1159+F1158*2.9</f>
        <v>121965</v>
      </c>
      <c r="G1160" s="65"/>
      <c r="H1160" s="65"/>
      <c r="I1160" s="43"/>
      <c r="J1160" s="430"/>
    </row>
    <row r="1161" spans="1:10" hidden="1" x14ac:dyDescent="0.25">
      <c r="A1161" s="53">
        <v>1</v>
      </c>
      <c r="B1161" s="109" t="s">
        <v>261</v>
      </c>
      <c r="C1161" s="53">
        <v>1</v>
      </c>
      <c r="D1161" s="44" t="s">
        <v>7</v>
      </c>
      <c r="E1161" s="514"/>
      <c r="F1161" s="515"/>
      <c r="G1161" s="2"/>
      <c r="H1161" s="2"/>
      <c r="I1161" s="2"/>
    </row>
    <row r="1162" spans="1:10" hidden="1" x14ac:dyDescent="0.25">
      <c r="A1162" s="53">
        <v>1</v>
      </c>
      <c r="B1162" s="109" t="s">
        <v>261</v>
      </c>
      <c r="C1162" s="53">
        <v>1</v>
      </c>
      <c r="D1162" s="306" t="s">
        <v>71</v>
      </c>
      <c r="E1162" s="514"/>
      <c r="F1162" s="515"/>
      <c r="G1162" s="2"/>
      <c r="H1162" s="2"/>
      <c r="I1162" s="2"/>
    </row>
    <row r="1163" spans="1:10" hidden="1" x14ac:dyDescent="0.25">
      <c r="A1163" s="53">
        <v>1</v>
      </c>
      <c r="B1163" s="109" t="s">
        <v>261</v>
      </c>
      <c r="C1163" s="53">
        <v>1</v>
      </c>
      <c r="D1163" s="439" t="s">
        <v>55</v>
      </c>
      <c r="E1163" s="54">
        <v>240</v>
      </c>
      <c r="F1163" s="55">
        <v>10</v>
      </c>
      <c r="G1163" s="47">
        <v>10</v>
      </c>
      <c r="H1163" s="2">
        <f>ROUND(I1163/E1163,0)</f>
        <v>0</v>
      </c>
      <c r="I1163" s="2">
        <f>ROUND(F1163*G1163,0)</f>
        <v>100</v>
      </c>
    </row>
    <row r="1164" spans="1:10" hidden="1" x14ac:dyDescent="0.25">
      <c r="A1164" s="53">
        <v>1</v>
      </c>
      <c r="B1164" s="109" t="s">
        <v>261</v>
      </c>
      <c r="C1164" s="53">
        <v>1</v>
      </c>
      <c r="D1164" s="439" t="s">
        <v>43</v>
      </c>
      <c r="E1164" s="54">
        <v>240</v>
      </c>
      <c r="F1164" s="55">
        <v>24</v>
      </c>
      <c r="G1164" s="47">
        <v>9</v>
      </c>
      <c r="H1164" s="2">
        <f>ROUND(I1164/E1164,0)</f>
        <v>1</v>
      </c>
      <c r="I1164" s="2">
        <f>ROUND(F1164*G1164,0)</f>
        <v>216</v>
      </c>
    </row>
    <row r="1165" spans="1:10" hidden="1" x14ac:dyDescent="0.25">
      <c r="A1165" s="53">
        <v>1</v>
      </c>
      <c r="B1165" s="109" t="s">
        <v>261</v>
      </c>
      <c r="C1165" s="53">
        <v>1</v>
      </c>
      <c r="D1165" s="439" t="s">
        <v>24</v>
      </c>
      <c r="E1165" s="54">
        <v>240</v>
      </c>
      <c r="F1165" s="55">
        <v>424</v>
      </c>
      <c r="G1165" s="47">
        <v>8</v>
      </c>
      <c r="H1165" s="2">
        <f>ROUND(I1165/E1165,0)</f>
        <v>14</v>
      </c>
      <c r="I1165" s="2">
        <f>ROUND(F1165*G1165,0)</f>
        <v>3392</v>
      </c>
    </row>
    <row r="1166" spans="1:10" hidden="1" x14ac:dyDescent="0.25">
      <c r="A1166" s="53">
        <v>1</v>
      </c>
      <c r="B1166" s="109" t="s">
        <v>261</v>
      </c>
      <c r="C1166" s="53">
        <v>1</v>
      </c>
      <c r="D1166" s="439" t="s">
        <v>69</v>
      </c>
      <c r="E1166" s="54">
        <v>240</v>
      </c>
      <c r="F1166" s="55">
        <v>412</v>
      </c>
      <c r="G1166" s="47">
        <v>8</v>
      </c>
      <c r="H1166" s="2">
        <f>ROUND(I1166/E1166,0)</f>
        <v>14</v>
      </c>
      <c r="I1166" s="2">
        <f>ROUND(F1166*G1166,0)</f>
        <v>3296</v>
      </c>
    </row>
    <row r="1167" spans="1:10" hidden="1" x14ac:dyDescent="0.25">
      <c r="A1167" s="53"/>
      <c r="B1167" s="109" t="s">
        <v>261</v>
      </c>
      <c r="C1167" s="53">
        <v>1</v>
      </c>
      <c r="D1167" s="513" t="s">
        <v>152</v>
      </c>
      <c r="E1167" s="68">
        <v>240</v>
      </c>
      <c r="F1167" s="55">
        <v>30</v>
      </c>
      <c r="G1167" s="47">
        <v>8</v>
      </c>
      <c r="H1167" s="2">
        <f>ROUND(I1167/E1167,0)</f>
        <v>1</v>
      </c>
      <c r="I1167" s="2">
        <f>ROUND(F1167*G1167,0)</f>
        <v>240</v>
      </c>
    </row>
    <row r="1168" spans="1:10" hidden="1" x14ac:dyDescent="0.25">
      <c r="A1168" s="53">
        <v>1</v>
      </c>
      <c r="B1168" s="109" t="s">
        <v>261</v>
      </c>
      <c r="C1168" s="53">
        <v>1</v>
      </c>
      <c r="D1168" s="497" t="s">
        <v>92</v>
      </c>
      <c r="E1168" s="54"/>
      <c r="F1168" s="459">
        <f>SUM(F1163:F1167)</f>
        <v>900</v>
      </c>
      <c r="G1168" s="476">
        <f>I1168/F1168</f>
        <v>8.0488888888888894</v>
      </c>
      <c r="H1168" s="31">
        <f>SUM(H1163:H1167)</f>
        <v>30</v>
      </c>
      <c r="I1168" s="31">
        <f>SUM(I1163:I1167)</f>
        <v>7244</v>
      </c>
    </row>
    <row r="1169" spans="1:10" hidden="1" x14ac:dyDescent="0.25">
      <c r="A1169" s="53">
        <v>1</v>
      </c>
      <c r="B1169" s="109" t="s">
        <v>261</v>
      </c>
      <c r="C1169" s="53">
        <v>1</v>
      </c>
      <c r="D1169" s="500" t="s">
        <v>86</v>
      </c>
      <c r="E1169" s="54"/>
      <c r="F1169" s="446">
        <f>F1168</f>
        <v>900</v>
      </c>
      <c r="G1169" s="82">
        <f>G1168</f>
        <v>8.0488888888888894</v>
      </c>
      <c r="H1169" s="302">
        <f>H1168</f>
        <v>30</v>
      </c>
      <c r="I1169" s="302">
        <f>I1168</f>
        <v>7244</v>
      </c>
    </row>
    <row r="1170" spans="1:10" ht="15.75" hidden="1" thickBot="1" x14ac:dyDescent="0.3">
      <c r="A1170" s="53">
        <v>1</v>
      </c>
      <c r="B1170" s="109" t="s">
        <v>261</v>
      </c>
      <c r="C1170" s="53">
        <v>1</v>
      </c>
      <c r="D1170" s="448" t="s">
        <v>220</v>
      </c>
      <c r="E1170" s="520"/>
      <c r="F1170" s="528"/>
      <c r="G1170" s="449"/>
      <c r="H1170" s="449"/>
      <c r="I1170" s="449"/>
    </row>
    <row r="1171" spans="1:10" x14ac:dyDescent="0.25">
      <c r="A1171" s="53">
        <v>1</v>
      </c>
      <c r="B1171" s="109" t="s">
        <v>262</v>
      </c>
      <c r="C1171" s="53">
        <v>1</v>
      </c>
      <c r="D1171" s="706" t="s">
        <v>421</v>
      </c>
      <c r="E1171" s="529"/>
      <c r="F1171" s="423"/>
      <c r="G1171" s="424"/>
      <c r="H1171" s="424"/>
      <c r="I1171" s="424"/>
    </row>
    <row r="1172" spans="1:10" x14ac:dyDescent="0.25">
      <c r="A1172" s="53">
        <v>1</v>
      </c>
      <c r="B1172" s="109" t="s">
        <v>262</v>
      </c>
      <c r="C1172" s="53">
        <v>1</v>
      </c>
      <c r="D1172" s="707"/>
      <c r="E1172" s="454"/>
      <c r="F1172" s="55"/>
      <c r="G1172" s="530"/>
      <c r="H1172" s="2"/>
      <c r="I1172" s="2"/>
    </row>
    <row r="1173" spans="1:10" x14ac:dyDescent="0.25">
      <c r="A1173" s="53">
        <v>1</v>
      </c>
      <c r="B1173" s="109" t="s">
        <v>262</v>
      </c>
      <c r="C1173" s="53">
        <v>1</v>
      </c>
      <c r="D1173" s="114" t="s">
        <v>32</v>
      </c>
      <c r="E1173" s="531">
        <v>340</v>
      </c>
      <c r="F1173" s="55">
        <v>152</v>
      </c>
      <c r="G1173" s="532">
        <v>11</v>
      </c>
      <c r="H1173" s="2">
        <f t="shared" ref="H1173:H1184" si="13">ROUND(I1173/E1173,0)</f>
        <v>5</v>
      </c>
      <c r="I1173" s="2">
        <f t="shared" ref="I1173:I1184" si="14">ROUND(F1173*G1173,0)</f>
        <v>1672</v>
      </c>
    </row>
    <row r="1174" spans="1:10" x14ac:dyDescent="0.25">
      <c r="A1174" s="53">
        <v>1</v>
      </c>
      <c r="B1174" s="109" t="s">
        <v>262</v>
      </c>
      <c r="C1174" s="53">
        <v>1</v>
      </c>
      <c r="D1174" s="114" t="s">
        <v>21</v>
      </c>
      <c r="E1174" s="531">
        <v>340</v>
      </c>
      <c r="F1174" s="55">
        <v>165</v>
      </c>
      <c r="G1174" s="532">
        <v>6.3</v>
      </c>
      <c r="H1174" s="2">
        <f t="shared" si="13"/>
        <v>3</v>
      </c>
      <c r="I1174" s="2">
        <f t="shared" si="14"/>
        <v>1040</v>
      </c>
    </row>
    <row r="1175" spans="1:10" x14ac:dyDescent="0.25">
      <c r="A1175" s="53">
        <v>1</v>
      </c>
      <c r="B1175" s="109" t="s">
        <v>262</v>
      </c>
      <c r="C1175" s="53">
        <v>1</v>
      </c>
      <c r="D1175" s="114" t="s">
        <v>20</v>
      </c>
      <c r="E1175" s="531">
        <v>340</v>
      </c>
      <c r="F1175" s="55">
        <f>919+2</f>
        <v>921</v>
      </c>
      <c r="G1175" s="532">
        <v>10</v>
      </c>
      <c r="H1175" s="2">
        <f t="shared" si="13"/>
        <v>27</v>
      </c>
      <c r="I1175" s="2">
        <f t="shared" si="14"/>
        <v>9210</v>
      </c>
    </row>
    <row r="1176" spans="1:10" x14ac:dyDescent="0.25">
      <c r="A1176" s="53">
        <v>1</v>
      </c>
      <c r="B1176" s="109" t="s">
        <v>262</v>
      </c>
      <c r="C1176" s="53">
        <v>1</v>
      </c>
      <c r="D1176" s="114" t="s">
        <v>55</v>
      </c>
      <c r="E1176" s="531">
        <v>340</v>
      </c>
      <c r="F1176" s="55">
        <f>705+6+1</f>
        <v>712</v>
      </c>
      <c r="G1176" s="532">
        <v>8.5</v>
      </c>
      <c r="H1176" s="2">
        <f t="shared" si="13"/>
        <v>18</v>
      </c>
      <c r="I1176" s="2">
        <f t="shared" si="14"/>
        <v>6052</v>
      </c>
    </row>
    <row r="1177" spans="1:10" x14ac:dyDescent="0.25">
      <c r="A1177" s="53">
        <v>1</v>
      </c>
      <c r="B1177" s="109" t="s">
        <v>262</v>
      </c>
      <c r="C1177" s="53">
        <v>1</v>
      </c>
      <c r="D1177" s="684" t="s">
        <v>61</v>
      </c>
      <c r="E1177" s="531">
        <v>340</v>
      </c>
      <c r="F1177" s="55">
        <v>152</v>
      </c>
      <c r="G1177" s="532">
        <v>11.5</v>
      </c>
      <c r="H1177" s="2">
        <f t="shared" si="13"/>
        <v>5</v>
      </c>
      <c r="I1177" s="2">
        <f t="shared" si="14"/>
        <v>1748</v>
      </c>
    </row>
    <row r="1178" spans="1:10" x14ac:dyDescent="0.25">
      <c r="A1178" s="53">
        <v>1</v>
      </c>
      <c r="B1178" s="109" t="s">
        <v>262</v>
      </c>
      <c r="C1178" s="53">
        <v>1</v>
      </c>
      <c r="D1178" s="533" t="s">
        <v>60</v>
      </c>
      <c r="E1178" s="531">
        <v>340</v>
      </c>
      <c r="F1178" s="55">
        <v>243</v>
      </c>
      <c r="G1178" s="532">
        <v>10</v>
      </c>
      <c r="H1178" s="2">
        <f t="shared" si="13"/>
        <v>7</v>
      </c>
      <c r="I1178" s="2">
        <f t="shared" si="14"/>
        <v>2430</v>
      </c>
    </row>
    <row r="1179" spans="1:10" x14ac:dyDescent="0.25">
      <c r="A1179" s="53">
        <v>1</v>
      </c>
      <c r="B1179" s="109" t="s">
        <v>262</v>
      </c>
      <c r="C1179" s="53">
        <v>1</v>
      </c>
      <c r="D1179" s="114" t="s">
        <v>13</v>
      </c>
      <c r="E1179" s="531">
        <v>340</v>
      </c>
      <c r="F1179" s="55">
        <v>206</v>
      </c>
      <c r="G1179" s="532">
        <v>10.199999999999999</v>
      </c>
      <c r="H1179" s="2">
        <f t="shared" si="13"/>
        <v>6</v>
      </c>
      <c r="I1179" s="2">
        <f t="shared" si="14"/>
        <v>2101</v>
      </c>
    </row>
    <row r="1180" spans="1:10" x14ac:dyDescent="0.25">
      <c r="A1180" s="53">
        <v>1</v>
      </c>
      <c r="B1180" s="109" t="s">
        <v>262</v>
      </c>
      <c r="C1180" s="53">
        <v>1</v>
      </c>
      <c r="D1180" s="533" t="s">
        <v>29</v>
      </c>
      <c r="E1180" s="531">
        <v>340</v>
      </c>
      <c r="F1180" s="55">
        <v>173</v>
      </c>
      <c r="G1180" s="532">
        <v>9</v>
      </c>
      <c r="H1180" s="2">
        <f t="shared" si="13"/>
        <v>5</v>
      </c>
      <c r="I1180" s="2">
        <f t="shared" si="14"/>
        <v>1557</v>
      </c>
    </row>
    <row r="1181" spans="1:10" x14ac:dyDescent="0.25">
      <c r="A1181" s="53">
        <v>1</v>
      </c>
      <c r="B1181" s="109" t="s">
        <v>262</v>
      </c>
      <c r="C1181" s="53">
        <v>1</v>
      </c>
      <c r="D1181" s="114" t="s">
        <v>19</v>
      </c>
      <c r="E1181" s="531">
        <v>340</v>
      </c>
      <c r="F1181" s="55">
        <f>1017+3+2+2+4+2+11</f>
        <v>1041</v>
      </c>
      <c r="G1181" s="532">
        <v>9</v>
      </c>
      <c r="H1181" s="2">
        <f t="shared" si="13"/>
        <v>28</v>
      </c>
      <c r="I1181" s="2">
        <f t="shared" si="14"/>
        <v>9369</v>
      </c>
    </row>
    <row r="1182" spans="1:10" x14ac:dyDescent="0.25">
      <c r="A1182" s="53">
        <v>1</v>
      </c>
      <c r="B1182" s="109" t="s">
        <v>262</v>
      </c>
      <c r="C1182" s="53">
        <v>1</v>
      </c>
      <c r="D1182" s="114" t="s">
        <v>56</v>
      </c>
      <c r="E1182" s="531">
        <v>340</v>
      </c>
      <c r="F1182" s="55">
        <v>61</v>
      </c>
      <c r="G1182" s="532">
        <v>9.5</v>
      </c>
      <c r="H1182" s="2">
        <f t="shared" si="13"/>
        <v>2</v>
      </c>
      <c r="I1182" s="2">
        <f t="shared" si="14"/>
        <v>580</v>
      </c>
    </row>
    <row r="1183" spans="1:10" x14ac:dyDescent="0.25">
      <c r="A1183" s="53">
        <v>1</v>
      </c>
      <c r="B1183" s="109" t="s">
        <v>262</v>
      </c>
      <c r="C1183" s="53">
        <v>1</v>
      </c>
      <c r="D1183" s="114" t="s">
        <v>11</v>
      </c>
      <c r="E1183" s="531">
        <v>340</v>
      </c>
      <c r="F1183" s="55">
        <f>288+19</f>
        <v>307</v>
      </c>
      <c r="G1183" s="532">
        <v>8.1999999999999993</v>
      </c>
      <c r="H1183" s="2">
        <f t="shared" si="13"/>
        <v>7</v>
      </c>
      <c r="I1183" s="2">
        <f t="shared" si="14"/>
        <v>2517</v>
      </c>
    </row>
    <row r="1184" spans="1:10" x14ac:dyDescent="0.25">
      <c r="A1184" s="53">
        <v>1</v>
      </c>
      <c r="B1184" s="109" t="s">
        <v>262</v>
      </c>
      <c r="C1184" s="53">
        <v>1</v>
      </c>
      <c r="D1184" s="114" t="s">
        <v>69</v>
      </c>
      <c r="E1184" s="531">
        <v>340</v>
      </c>
      <c r="F1184" s="55">
        <f>609+3+4+1+2+5</f>
        <v>624</v>
      </c>
      <c r="G1184" s="532">
        <v>10</v>
      </c>
      <c r="H1184" s="2">
        <f t="shared" si="13"/>
        <v>18</v>
      </c>
      <c r="I1184" s="2">
        <f t="shared" si="14"/>
        <v>6240</v>
      </c>
      <c r="J1184" s="52">
        <f>F1185-F1186</f>
        <v>4252</v>
      </c>
    </row>
    <row r="1185" spans="1:10" s="53" customFormat="1" x14ac:dyDescent="0.25">
      <c r="A1185" s="53">
        <v>1</v>
      </c>
      <c r="B1185" s="109" t="s">
        <v>262</v>
      </c>
      <c r="C1185" s="53">
        <v>1</v>
      </c>
      <c r="D1185" s="534" t="s">
        <v>5</v>
      </c>
      <c r="E1185" s="535"/>
      <c r="F1185" s="398">
        <f>SUM(F1173:F1184)</f>
        <v>4757</v>
      </c>
      <c r="G1185" s="143">
        <f>I1185/F1185</f>
        <v>9.3579987387008625</v>
      </c>
      <c r="H1185" s="29">
        <f>SUM(H1173:H1184)</f>
        <v>131</v>
      </c>
      <c r="I1185" s="29">
        <f>SUM(I1173:I1184)</f>
        <v>44516</v>
      </c>
      <c r="J1185" s="536"/>
    </row>
    <row r="1186" spans="1:10" s="53" customFormat="1" x14ac:dyDescent="0.25">
      <c r="B1186" s="109" t="s">
        <v>262</v>
      </c>
      <c r="C1186" s="53">
        <v>1</v>
      </c>
      <c r="D1186" s="120" t="s">
        <v>213</v>
      </c>
      <c r="E1186" s="535"/>
      <c r="F1186" s="398">
        <f>476+29</f>
        <v>505</v>
      </c>
      <c r="G1186" s="143"/>
      <c r="H1186" s="29"/>
      <c r="I1186" s="29"/>
      <c r="J1186" s="152"/>
    </row>
    <row r="1187" spans="1:10" s="58" customFormat="1" ht="46.5" customHeight="1" x14ac:dyDescent="0.25">
      <c r="A1187" s="53">
        <v>1</v>
      </c>
      <c r="B1187" s="109" t="s">
        <v>262</v>
      </c>
      <c r="C1187" s="53">
        <v>1</v>
      </c>
      <c r="D1187" s="101" t="s">
        <v>294</v>
      </c>
      <c r="E1187" s="12"/>
      <c r="F1187" s="429"/>
      <c r="G1187" s="57"/>
      <c r="H1187" s="57"/>
      <c r="I1187" s="57"/>
      <c r="J1187" s="430"/>
    </row>
    <row r="1188" spans="1:10" s="58" customFormat="1" x14ac:dyDescent="0.25">
      <c r="A1188" s="53"/>
      <c r="B1188" s="109" t="s">
        <v>262</v>
      </c>
      <c r="C1188" s="53">
        <v>1</v>
      </c>
      <c r="D1188" s="14" t="s">
        <v>187</v>
      </c>
      <c r="E1188" s="12"/>
      <c r="F1188" s="429">
        <f>F1190+F1191+F1192+F1193+F1195</f>
        <v>60618</v>
      </c>
      <c r="G1188" s="57"/>
      <c r="H1188" s="57"/>
      <c r="I1188" s="57"/>
      <c r="J1188" s="430"/>
    </row>
    <row r="1189" spans="1:10" s="58" customFormat="1" x14ac:dyDescent="0.25">
      <c r="A1189" s="53"/>
      <c r="B1189" s="109" t="s">
        <v>262</v>
      </c>
      <c r="C1189" s="53">
        <v>1</v>
      </c>
      <c r="D1189" s="18" t="s">
        <v>113</v>
      </c>
      <c r="E1189" s="12"/>
      <c r="F1189" s="429"/>
      <c r="G1189" s="57"/>
      <c r="H1189" s="57"/>
      <c r="I1189" s="57"/>
      <c r="J1189" s="430"/>
    </row>
    <row r="1190" spans="1:10" s="58" customFormat="1" ht="30" x14ac:dyDescent="0.25">
      <c r="A1190" s="53"/>
      <c r="B1190" s="109" t="s">
        <v>262</v>
      </c>
      <c r="C1190" s="53">
        <v>1</v>
      </c>
      <c r="D1190" s="18" t="s">
        <v>114</v>
      </c>
      <c r="E1190" s="12"/>
      <c r="F1190" s="59">
        <v>1500</v>
      </c>
      <c r="G1190" s="57"/>
      <c r="H1190" s="57"/>
      <c r="I1190" s="57"/>
      <c r="J1190" s="430"/>
    </row>
    <row r="1191" spans="1:10" s="58" customFormat="1" ht="30" x14ac:dyDescent="0.25">
      <c r="A1191" s="53"/>
      <c r="B1191" s="109" t="s">
        <v>262</v>
      </c>
      <c r="C1191" s="53">
        <v>1</v>
      </c>
      <c r="D1191" s="15" t="s">
        <v>361</v>
      </c>
      <c r="E1191" s="12"/>
      <c r="F1191" s="59">
        <v>34400</v>
      </c>
      <c r="G1191" s="57"/>
      <c r="H1191" s="57"/>
      <c r="I1191" s="57"/>
      <c r="J1191" s="430"/>
    </row>
    <row r="1192" spans="1:10" s="58" customFormat="1" ht="48" customHeight="1" x14ac:dyDescent="0.25">
      <c r="A1192" s="53"/>
      <c r="B1192" s="109" t="s">
        <v>262</v>
      </c>
      <c r="C1192" s="53">
        <v>1</v>
      </c>
      <c r="D1192" s="15" t="s">
        <v>219</v>
      </c>
      <c r="E1192" s="12"/>
      <c r="F1192" s="59"/>
      <c r="G1192" s="57"/>
      <c r="H1192" s="57"/>
      <c r="I1192" s="57"/>
      <c r="J1192" s="430"/>
    </row>
    <row r="1193" spans="1:10" s="58" customFormat="1" ht="45" x14ac:dyDescent="0.25">
      <c r="A1193" s="53"/>
      <c r="B1193" s="109" t="s">
        <v>262</v>
      </c>
      <c r="C1193" s="53">
        <v>1</v>
      </c>
      <c r="D1193" s="15" t="s">
        <v>188</v>
      </c>
      <c r="E1193" s="12"/>
      <c r="F1193" s="59">
        <v>22500</v>
      </c>
      <c r="G1193" s="57"/>
      <c r="H1193" s="57"/>
      <c r="I1193" s="57"/>
      <c r="J1193" s="430"/>
    </row>
    <row r="1194" spans="1:10" s="58" customFormat="1" ht="75" x14ac:dyDescent="0.25">
      <c r="A1194" s="53"/>
      <c r="B1194" s="109"/>
      <c r="C1194" s="53">
        <v>1</v>
      </c>
      <c r="D1194" s="15" t="s">
        <v>353</v>
      </c>
      <c r="E1194" s="12"/>
      <c r="F1194" s="59">
        <v>15000</v>
      </c>
      <c r="G1194" s="57"/>
      <c r="H1194" s="57"/>
      <c r="I1194" s="57"/>
      <c r="J1194" s="430"/>
    </row>
    <row r="1195" spans="1:10" s="58" customFormat="1" ht="15" customHeight="1" x14ac:dyDescent="0.25">
      <c r="A1195" s="53"/>
      <c r="B1195" s="109"/>
      <c r="C1195" s="53">
        <v>1</v>
      </c>
      <c r="D1195" s="15" t="s">
        <v>293</v>
      </c>
      <c r="E1195" s="12"/>
      <c r="F1195" s="59">
        <v>2218</v>
      </c>
      <c r="G1195" s="57"/>
      <c r="H1195" s="57"/>
      <c r="I1195" s="57"/>
      <c r="J1195" s="430"/>
    </row>
    <row r="1196" spans="1:10" s="58" customFormat="1" x14ac:dyDescent="0.25">
      <c r="A1196" s="53"/>
      <c r="B1196" s="109" t="s">
        <v>262</v>
      </c>
      <c r="C1196" s="53">
        <v>1</v>
      </c>
      <c r="D1196" s="60" t="s">
        <v>88</v>
      </c>
      <c r="E1196" s="12"/>
      <c r="F1196" s="429">
        <f>F1197</f>
        <v>34000</v>
      </c>
      <c r="G1196" s="57"/>
      <c r="H1196" s="57"/>
      <c r="I1196" s="57"/>
      <c r="J1196" s="430"/>
    </row>
    <row r="1197" spans="1:10" s="58" customFormat="1" x14ac:dyDescent="0.25">
      <c r="A1197" s="53"/>
      <c r="B1197" s="109" t="s">
        <v>262</v>
      </c>
      <c r="C1197" s="53">
        <v>1</v>
      </c>
      <c r="D1197" s="19" t="s">
        <v>145</v>
      </c>
      <c r="E1197" s="12"/>
      <c r="F1197" s="59">
        <v>34000</v>
      </c>
      <c r="G1197" s="57"/>
      <c r="H1197" s="57"/>
      <c r="I1197" s="57"/>
      <c r="J1197" s="430"/>
    </row>
    <row r="1198" spans="1:10" s="58" customFormat="1" ht="47.25" x14ac:dyDescent="0.25">
      <c r="A1198" s="53"/>
      <c r="B1198" s="109" t="s">
        <v>262</v>
      </c>
      <c r="C1198" s="53">
        <v>1</v>
      </c>
      <c r="D1198" s="61" t="s">
        <v>292</v>
      </c>
      <c r="E1198" s="12"/>
      <c r="F1198" s="429">
        <f>F1199+F1204</f>
        <v>14245</v>
      </c>
      <c r="G1198" s="57"/>
      <c r="H1198" s="57"/>
      <c r="I1198" s="57"/>
      <c r="J1198" s="430"/>
    </row>
    <row r="1199" spans="1:10" s="58" customFormat="1" ht="18.75" customHeight="1" x14ac:dyDescent="0.25">
      <c r="A1199" s="53"/>
      <c r="B1199" s="109" t="s">
        <v>262</v>
      </c>
      <c r="C1199" s="53">
        <v>1</v>
      </c>
      <c r="D1199" s="16" t="s">
        <v>189</v>
      </c>
      <c r="E1199" s="12"/>
      <c r="F1199" s="429">
        <f>SUM(F1200:F1203)</f>
        <v>6761</v>
      </c>
      <c r="G1199" s="57"/>
      <c r="H1199" s="57"/>
      <c r="I1199" s="57"/>
      <c r="J1199" s="430"/>
    </row>
    <row r="1200" spans="1:10" s="58" customFormat="1" ht="14.25" customHeight="1" x14ac:dyDescent="0.25">
      <c r="A1200" s="53"/>
      <c r="B1200" s="109" t="s">
        <v>262</v>
      </c>
      <c r="C1200" s="53">
        <v>1</v>
      </c>
      <c r="D1200" s="15" t="s">
        <v>190</v>
      </c>
      <c r="E1200" s="12"/>
      <c r="F1200" s="59">
        <v>6721</v>
      </c>
      <c r="G1200" s="57"/>
      <c r="H1200" s="57"/>
      <c r="I1200" s="57"/>
      <c r="J1200" s="430"/>
    </row>
    <row r="1201" spans="1:10" s="58" customFormat="1" ht="45" x14ac:dyDescent="0.25">
      <c r="A1201" s="53">
        <v>1</v>
      </c>
      <c r="B1201" s="109" t="s">
        <v>262</v>
      </c>
      <c r="C1201" s="53">
        <v>1</v>
      </c>
      <c r="D1201" s="15" t="s">
        <v>191</v>
      </c>
      <c r="E1201" s="62"/>
      <c r="F1201" s="63"/>
      <c r="G1201" s="57"/>
      <c r="H1201" s="57"/>
      <c r="I1201" s="57"/>
      <c r="J1201" s="430"/>
    </row>
    <row r="1202" spans="1:10" s="58" customFormat="1" ht="30" x14ac:dyDescent="0.25">
      <c r="A1202" s="53">
        <v>1</v>
      </c>
      <c r="B1202" s="109" t="s">
        <v>262</v>
      </c>
      <c r="C1202" s="53">
        <v>1</v>
      </c>
      <c r="D1202" s="15" t="s">
        <v>192</v>
      </c>
      <c r="E1202" s="24"/>
      <c r="F1202" s="55"/>
      <c r="G1202" s="24"/>
      <c r="H1202" s="24"/>
      <c r="I1202" s="24"/>
      <c r="J1202" s="430"/>
    </row>
    <row r="1203" spans="1:10" s="58" customFormat="1" ht="30" x14ac:dyDescent="0.25">
      <c r="A1203" s="53">
        <v>1</v>
      </c>
      <c r="B1203" s="109" t="s">
        <v>262</v>
      </c>
      <c r="C1203" s="53">
        <v>1</v>
      </c>
      <c r="D1203" s="15" t="s">
        <v>193</v>
      </c>
      <c r="E1203" s="62"/>
      <c r="F1203" s="63">
        <v>40</v>
      </c>
      <c r="G1203" s="57"/>
      <c r="H1203" s="57"/>
      <c r="I1203" s="57"/>
      <c r="J1203" s="430"/>
    </row>
    <row r="1204" spans="1:10" s="58" customFormat="1" ht="30" x14ac:dyDescent="0.25">
      <c r="A1204" s="53">
        <v>1</v>
      </c>
      <c r="B1204" s="109" t="s">
        <v>262</v>
      </c>
      <c r="C1204" s="53">
        <v>1</v>
      </c>
      <c r="D1204" s="16" t="s">
        <v>194</v>
      </c>
      <c r="E1204" s="62"/>
      <c r="F1204" s="398">
        <f>SUM(F1205:F1207)</f>
        <v>7484</v>
      </c>
      <c r="G1204" s="2"/>
      <c r="H1204" s="57"/>
      <c r="I1204" s="57"/>
      <c r="J1204" s="430"/>
    </row>
    <row r="1205" spans="1:10" s="58" customFormat="1" ht="30" x14ac:dyDescent="0.25">
      <c r="A1205" s="53">
        <v>1</v>
      </c>
      <c r="B1205" s="109" t="s">
        <v>262</v>
      </c>
      <c r="C1205" s="53">
        <v>1</v>
      </c>
      <c r="D1205" s="15" t="s">
        <v>195</v>
      </c>
      <c r="E1205" s="62"/>
      <c r="F1205" s="55">
        <v>2484</v>
      </c>
      <c r="G1205" s="2"/>
      <c r="H1205" s="57"/>
      <c r="I1205" s="57"/>
      <c r="J1205" s="430"/>
    </row>
    <row r="1206" spans="1:10" s="58" customFormat="1" ht="45" x14ac:dyDescent="0.25">
      <c r="A1206" s="53">
        <v>1</v>
      </c>
      <c r="B1206" s="109" t="s">
        <v>262</v>
      </c>
      <c r="C1206" s="53">
        <v>1</v>
      </c>
      <c r="D1206" s="15" t="s">
        <v>196</v>
      </c>
      <c r="E1206" s="62"/>
      <c r="F1206" s="55">
        <v>3000</v>
      </c>
      <c r="G1206" s="2"/>
      <c r="H1206" s="57"/>
      <c r="I1206" s="57"/>
      <c r="J1206" s="430"/>
    </row>
    <row r="1207" spans="1:10" s="58" customFormat="1" ht="42.75" customHeight="1" x14ac:dyDescent="0.25">
      <c r="A1207" s="53">
        <v>1</v>
      </c>
      <c r="B1207" s="109" t="s">
        <v>262</v>
      </c>
      <c r="C1207" s="53">
        <v>1</v>
      </c>
      <c r="D1207" s="15" t="s">
        <v>197</v>
      </c>
      <c r="E1207" s="62"/>
      <c r="F1207" s="433">
        <v>2000</v>
      </c>
      <c r="G1207" s="57"/>
      <c r="H1207" s="57"/>
      <c r="I1207" s="57"/>
      <c r="J1207" s="430"/>
    </row>
    <row r="1208" spans="1:10" s="58" customFormat="1" x14ac:dyDescent="0.25">
      <c r="A1208" s="53"/>
      <c r="B1208" s="109"/>
      <c r="C1208" s="53">
        <v>1</v>
      </c>
      <c r="D1208" s="12" t="s">
        <v>96</v>
      </c>
      <c r="E1208" s="62"/>
      <c r="F1208" s="433"/>
      <c r="G1208" s="78"/>
      <c r="H1208" s="57"/>
      <c r="I1208" s="78"/>
      <c r="J1208" s="430"/>
    </row>
    <row r="1209" spans="1:10" s="53" customFormat="1" x14ac:dyDescent="0.25">
      <c r="A1209" s="53">
        <v>1</v>
      </c>
      <c r="B1209" s="109" t="s">
        <v>262</v>
      </c>
      <c r="C1209" s="53">
        <v>1</v>
      </c>
      <c r="D1209" s="14" t="s">
        <v>296</v>
      </c>
      <c r="E1209" s="13"/>
      <c r="F1209" s="398">
        <f>SUM(F1211,F1215,F1216,F1217,F1218)</f>
        <v>7410.25</v>
      </c>
      <c r="G1209" s="2"/>
      <c r="H1209" s="57"/>
      <c r="I1209" s="29"/>
      <c r="J1209" s="52"/>
    </row>
    <row r="1210" spans="1:10" s="53" customFormat="1" x14ac:dyDescent="0.25">
      <c r="A1210" s="53">
        <v>1</v>
      </c>
      <c r="B1210" s="109" t="s">
        <v>262</v>
      </c>
      <c r="C1210" s="53">
        <v>1</v>
      </c>
      <c r="D1210" s="15" t="s">
        <v>297</v>
      </c>
      <c r="E1210" s="41"/>
      <c r="F1210" s="55"/>
      <c r="G1210" s="2"/>
      <c r="H1210" s="57"/>
      <c r="I1210" s="29"/>
      <c r="J1210" s="52"/>
    </row>
    <row r="1211" spans="1:10" s="53" customFormat="1" ht="30" x14ac:dyDescent="0.25">
      <c r="A1211" s="53">
        <v>1</v>
      </c>
      <c r="B1211" s="109" t="s">
        <v>262</v>
      </c>
      <c r="C1211" s="53">
        <v>1</v>
      </c>
      <c r="D1211" s="16" t="s">
        <v>298</v>
      </c>
      <c r="E1211" s="41"/>
      <c r="F1211" s="433">
        <f>F1212+F1214+F1213/4</f>
        <v>3106.25</v>
      </c>
      <c r="G1211" s="2"/>
      <c r="H1211" s="57"/>
      <c r="I1211" s="29"/>
      <c r="J1211" s="52"/>
    </row>
    <row r="1212" spans="1:10" s="124" customFormat="1" x14ac:dyDescent="0.25">
      <c r="A1212" s="104"/>
      <c r="B1212" s="109" t="s">
        <v>262</v>
      </c>
      <c r="C1212" s="53">
        <v>1</v>
      </c>
      <c r="D1212" s="15" t="s">
        <v>299</v>
      </c>
      <c r="E1212" s="13"/>
      <c r="F1212" s="17">
        <v>1000</v>
      </c>
      <c r="G1212" s="10"/>
      <c r="H1212" s="10"/>
      <c r="I1212" s="10"/>
      <c r="J1212" s="52"/>
    </row>
    <row r="1213" spans="1:10" s="58" customFormat="1" ht="30" x14ac:dyDescent="0.25">
      <c r="A1213" s="53">
        <v>1</v>
      </c>
      <c r="B1213" s="109" t="s">
        <v>262</v>
      </c>
      <c r="C1213" s="53">
        <v>1</v>
      </c>
      <c r="D1213" s="15" t="s">
        <v>300</v>
      </c>
      <c r="E1213" s="281"/>
      <c r="F1213" s="55">
        <v>4425</v>
      </c>
      <c r="G1213" s="65"/>
      <c r="H1213" s="57"/>
      <c r="I1213" s="57"/>
      <c r="J1213" s="52"/>
    </row>
    <row r="1214" spans="1:10" s="58" customFormat="1" ht="45" x14ac:dyDescent="0.25">
      <c r="A1214" s="53">
        <v>1</v>
      </c>
      <c r="B1214" s="109" t="s">
        <v>262</v>
      </c>
      <c r="C1214" s="53">
        <v>1</v>
      </c>
      <c r="D1214" s="15" t="s">
        <v>301</v>
      </c>
      <c r="E1214" s="64"/>
      <c r="F1214" s="63">
        <v>1000</v>
      </c>
      <c r="G1214" s="65"/>
      <c r="H1214" s="65"/>
      <c r="I1214" s="43"/>
      <c r="J1214" s="52"/>
    </row>
    <row r="1215" spans="1:10" s="58" customFormat="1" ht="45" x14ac:dyDescent="0.25">
      <c r="A1215" s="53">
        <v>1</v>
      </c>
      <c r="B1215" s="109" t="s">
        <v>262</v>
      </c>
      <c r="C1215" s="53">
        <v>1</v>
      </c>
      <c r="D1215" s="15" t="s">
        <v>309</v>
      </c>
      <c r="E1215" s="13"/>
      <c r="F1215" s="55" t="s">
        <v>343</v>
      </c>
      <c r="G1215" s="65"/>
      <c r="H1215" s="65"/>
      <c r="I1215" s="43"/>
      <c r="J1215" s="52"/>
    </row>
    <row r="1216" spans="1:10" s="58" customFormat="1" ht="45" x14ac:dyDescent="0.25">
      <c r="A1216" s="53">
        <v>1</v>
      </c>
      <c r="B1216" s="109" t="s">
        <v>262</v>
      </c>
      <c r="C1216" s="53">
        <v>1</v>
      </c>
      <c r="D1216" s="18" t="s">
        <v>310</v>
      </c>
      <c r="E1216" s="13"/>
      <c r="F1216" s="55"/>
      <c r="G1216" s="65"/>
      <c r="H1216" s="65"/>
      <c r="I1216" s="43"/>
      <c r="J1216" s="52"/>
    </row>
    <row r="1217" spans="1:10" s="58" customFormat="1" ht="75" x14ac:dyDescent="0.25">
      <c r="A1217" s="53"/>
      <c r="B1217" s="109"/>
      <c r="C1217" s="53">
        <v>1</v>
      </c>
      <c r="D1217" s="18" t="s">
        <v>354</v>
      </c>
      <c r="E1217" s="13"/>
      <c r="F1217" s="55">
        <v>3000</v>
      </c>
      <c r="G1217" s="65"/>
      <c r="H1217" s="65"/>
      <c r="I1217" s="43"/>
      <c r="J1217" s="52"/>
    </row>
    <row r="1218" spans="1:10" s="58" customFormat="1" ht="28.5" x14ac:dyDescent="0.25">
      <c r="A1218" s="53"/>
      <c r="B1218" s="109"/>
      <c r="C1218" s="53">
        <v>1</v>
      </c>
      <c r="D1218" s="66" t="s">
        <v>344</v>
      </c>
      <c r="E1218" s="13"/>
      <c r="F1218" s="55">
        <f>F1219</f>
        <v>1304</v>
      </c>
      <c r="G1218" s="59"/>
      <c r="H1218" s="59"/>
      <c r="I1218" s="81"/>
      <c r="J1218" s="52"/>
    </row>
    <row r="1219" spans="1:10" s="58" customFormat="1" x14ac:dyDescent="0.25">
      <c r="A1219" s="53"/>
      <c r="B1219" s="109"/>
      <c r="C1219" s="53">
        <v>1</v>
      </c>
      <c r="D1219" s="18" t="s">
        <v>345</v>
      </c>
      <c r="E1219" s="13"/>
      <c r="F1219" s="55">
        <v>1304</v>
      </c>
      <c r="G1219" s="59"/>
      <c r="H1219" s="59"/>
      <c r="I1219" s="81"/>
      <c r="J1219" s="52"/>
    </row>
    <row r="1220" spans="1:10" s="58" customFormat="1" ht="28.5" x14ac:dyDescent="0.25">
      <c r="A1220" s="53"/>
      <c r="B1220" s="109"/>
      <c r="C1220" s="53">
        <v>1</v>
      </c>
      <c r="D1220" s="66" t="s">
        <v>346</v>
      </c>
      <c r="E1220" s="13"/>
      <c r="F1220" s="55"/>
      <c r="G1220" s="59"/>
      <c r="H1220" s="59"/>
      <c r="I1220" s="81"/>
      <c r="J1220" s="52"/>
    </row>
    <row r="1221" spans="1:10" s="58" customFormat="1" x14ac:dyDescent="0.25">
      <c r="A1221" s="53">
        <v>1</v>
      </c>
      <c r="B1221" s="109" t="s">
        <v>262</v>
      </c>
      <c r="C1221" s="53">
        <v>1</v>
      </c>
      <c r="D1221" s="14" t="s">
        <v>303</v>
      </c>
      <c r="E1221" s="13"/>
      <c r="F1221" s="63">
        <f>F1222+F1224/9.4</f>
        <v>4755.3191489361698</v>
      </c>
      <c r="G1221" s="65"/>
      <c r="H1221" s="65"/>
      <c r="I1221" s="43"/>
      <c r="J1221" s="52"/>
    </row>
    <row r="1222" spans="1:10" s="58" customFormat="1" x14ac:dyDescent="0.25">
      <c r="A1222" s="53">
        <v>1</v>
      </c>
      <c r="B1222" s="109" t="s">
        <v>262</v>
      </c>
      <c r="C1222" s="53">
        <v>1</v>
      </c>
      <c r="D1222" s="14" t="s">
        <v>304</v>
      </c>
      <c r="E1222" s="13"/>
      <c r="F1222" s="63">
        <v>500</v>
      </c>
      <c r="G1222" s="65"/>
      <c r="H1222" s="65"/>
      <c r="I1222" s="43"/>
      <c r="J1222" s="52"/>
    </row>
    <row r="1223" spans="1:10" s="58" customFormat="1" x14ac:dyDescent="0.25">
      <c r="A1223" s="53">
        <v>1</v>
      </c>
      <c r="B1223" s="109" t="s">
        <v>262</v>
      </c>
      <c r="C1223" s="53">
        <v>1</v>
      </c>
      <c r="D1223" s="15" t="s">
        <v>305</v>
      </c>
      <c r="E1223" s="13"/>
      <c r="F1223" s="63">
        <f>F1224/9.4</f>
        <v>4255.3191489361698</v>
      </c>
      <c r="G1223" s="65"/>
      <c r="H1223" s="65"/>
      <c r="I1223" s="43"/>
      <c r="J1223" s="52"/>
    </row>
    <row r="1224" spans="1:10" s="58" customFormat="1" x14ac:dyDescent="0.25">
      <c r="A1224" s="53">
        <v>1</v>
      </c>
      <c r="B1224" s="109" t="s">
        <v>262</v>
      </c>
      <c r="C1224" s="53">
        <v>1</v>
      </c>
      <c r="D1224" s="42" t="s">
        <v>314</v>
      </c>
      <c r="E1224" s="13"/>
      <c r="F1224" s="63">
        <v>40000</v>
      </c>
      <c r="G1224" s="65"/>
      <c r="H1224" s="65"/>
      <c r="I1224" s="43"/>
      <c r="J1224" s="52"/>
    </row>
    <row r="1225" spans="1:10" s="58" customFormat="1" ht="29.25" x14ac:dyDescent="0.25">
      <c r="A1225" s="53">
        <v>1</v>
      </c>
      <c r="B1225" s="109" t="s">
        <v>262</v>
      </c>
      <c r="C1225" s="53">
        <v>1</v>
      </c>
      <c r="D1225" s="14" t="s">
        <v>306</v>
      </c>
      <c r="E1225" s="13"/>
      <c r="F1225" s="63">
        <v>12200</v>
      </c>
      <c r="G1225" s="65"/>
      <c r="H1225" s="65"/>
      <c r="I1225" s="43"/>
      <c r="J1225" s="52"/>
    </row>
    <row r="1226" spans="1:10" s="58" customFormat="1" x14ac:dyDescent="0.25">
      <c r="A1226" s="53">
        <v>1</v>
      </c>
      <c r="B1226" s="109" t="s">
        <v>262</v>
      </c>
      <c r="C1226" s="53">
        <v>1</v>
      </c>
      <c r="D1226" s="19" t="s">
        <v>115</v>
      </c>
      <c r="E1226" s="13"/>
      <c r="F1226" s="75"/>
      <c r="G1226" s="65"/>
      <c r="H1226" s="65"/>
      <c r="I1226" s="43"/>
      <c r="J1226" s="52"/>
    </row>
    <row r="1227" spans="1:10" s="58" customFormat="1" ht="57.75" x14ac:dyDescent="0.25">
      <c r="A1227" s="53">
        <v>1</v>
      </c>
      <c r="B1227" s="109" t="s">
        <v>262</v>
      </c>
      <c r="C1227" s="53">
        <v>1</v>
      </c>
      <c r="D1227" s="21" t="s">
        <v>312</v>
      </c>
      <c r="E1227" s="13"/>
      <c r="F1227" s="55">
        <v>3000</v>
      </c>
      <c r="G1227" s="65"/>
      <c r="H1227" s="65"/>
      <c r="I1227" s="43"/>
      <c r="J1227" s="52"/>
    </row>
    <row r="1228" spans="1:10" s="58" customFormat="1" x14ac:dyDescent="0.25">
      <c r="A1228" s="53">
        <v>1</v>
      </c>
      <c r="B1228" s="109" t="s">
        <v>262</v>
      </c>
      <c r="C1228" s="53">
        <v>1</v>
      </c>
      <c r="D1228" s="20" t="s">
        <v>158</v>
      </c>
      <c r="E1228" s="13"/>
      <c r="F1228" s="398">
        <f>SUM(F1229:F1256)</f>
        <v>7327</v>
      </c>
      <c r="G1228" s="65"/>
      <c r="H1228" s="65"/>
      <c r="I1228" s="43"/>
      <c r="J1228" s="52"/>
    </row>
    <row r="1229" spans="1:10" s="58" customFormat="1" ht="30" x14ac:dyDescent="0.25">
      <c r="A1229" s="53"/>
      <c r="B1229" s="109"/>
      <c r="C1229" s="53">
        <v>1</v>
      </c>
      <c r="D1229" s="19" t="s">
        <v>123</v>
      </c>
      <c r="E1229" s="41"/>
      <c r="F1229" s="55">
        <v>350</v>
      </c>
      <c r="G1229" s="65"/>
      <c r="H1229" s="65"/>
      <c r="I1229" s="29"/>
      <c r="J1229" s="52"/>
    </row>
    <row r="1230" spans="1:10" s="58" customFormat="1" x14ac:dyDescent="0.25">
      <c r="A1230" s="53">
        <v>1</v>
      </c>
      <c r="B1230" s="109" t="s">
        <v>262</v>
      </c>
      <c r="C1230" s="53">
        <v>1</v>
      </c>
      <c r="D1230" s="74" t="s">
        <v>133</v>
      </c>
      <c r="E1230" s="41"/>
      <c r="F1230" s="55">
        <v>30</v>
      </c>
      <c r="G1230" s="65"/>
      <c r="H1230" s="65"/>
      <c r="I1230" s="29"/>
      <c r="J1230" s="52"/>
    </row>
    <row r="1231" spans="1:10" s="58" customFormat="1" x14ac:dyDescent="0.25">
      <c r="A1231" s="53"/>
      <c r="B1231" s="109"/>
      <c r="C1231" s="53">
        <v>1</v>
      </c>
      <c r="D1231" s="74" t="s">
        <v>166</v>
      </c>
      <c r="E1231" s="41"/>
      <c r="F1231" s="55">
        <v>60</v>
      </c>
      <c r="G1231" s="65"/>
      <c r="H1231" s="65"/>
      <c r="I1231" s="29"/>
      <c r="J1231" s="52"/>
    </row>
    <row r="1232" spans="1:10" s="58" customFormat="1" x14ac:dyDescent="0.25">
      <c r="A1232" s="53"/>
      <c r="B1232" s="109"/>
      <c r="C1232" s="53">
        <v>1</v>
      </c>
      <c r="D1232" s="74" t="s">
        <v>62</v>
      </c>
      <c r="E1232" s="41"/>
      <c r="F1232" s="55">
        <v>15</v>
      </c>
      <c r="G1232" s="65"/>
      <c r="H1232" s="65"/>
      <c r="I1232" s="29"/>
      <c r="J1232" s="52"/>
    </row>
    <row r="1233" spans="1:10" s="58" customFormat="1" x14ac:dyDescent="0.25">
      <c r="A1233" s="53"/>
      <c r="B1233" s="109"/>
      <c r="C1233" s="53">
        <v>1</v>
      </c>
      <c r="D1233" s="74" t="s">
        <v>17</v>
      </c>
      <c r="E1233" s="41"/>
      <c r="F1233" s="55">
        <v>300</v>
      </c>
      <c r="G1233" s="65"/>
      <c r="H1233" s="65"/>
      <c r="I1233" s="29"/>
      <c r="J1233" s="52"/>
    </row>
    <row r="1234" spans="1:10" s="58" customFormat="1" ht="30" x14ac:dyDescent="0.25">
      <c r="A1234" s="53">
        <v>1</v>
      </c>
      <c r="B1234" s="109" t="s">
        <v>262</v>
      </c>
      <c r="C1234" s="53">
        <v>1</v>
      </c>
      <c r="D1234" s="74" t="s">
        <v>139</v>
      </c>
      <c r="E1234" s="41"/>
      <c r="F1234" s="55">
        <v>100</v>
      </c>
      <c r="G1234" s="65"/>
      <c r="H1234" s="65"/>
      <c r="I1234" s="29"/>
      <c r="J1234" s="52"/>
    </row>
    <row r="1235" spans="1:10" s="58" customFormat="1" x14ac:dyDescent="0.25">
      <c r="A1235" s="53"/>
      <c r="B1235" s="109"/>
      <c r="C1235" s="53">
        <v>1</v>
      </c>
      <c r="D1235" s="35" t="s">
        <v>147</v>
      </c>
      <c r="E1235" s="41"/>
      <c r="F1235" s="55">
        <v>250</v>
      </c>
      <c r="G1235" s="65"/>
      <c r="H1235" s="65"/>
      <c r="I1235" s="29"/>
      <c r="J1235" s="52"/>
    </row>
    <row r="1236" spans="1:10" s="58" customFormat="1" ht="30" x14ac:dyDescent="0.25">
      <c r="A1236" s="53">
        <v>1</v>
      </c>
      <c r="B1236" s="109" t="s">
        <v>262</v>
      </c>
      <c r="C1236" s="53">
        <v>1</v>
      </c>
      <c r="D1236" s="74" t="s">
        <v>126</v>
      </c>
      <c r="E1236" s="41"/>
      <c r="F1236" s="55">
        <v>100</v>
      </c>
      <c r="G1236" s="65"/>
      <c r="H1236" s="65"/>
      <c r="I1236" s="29"/>
      <c r="J1236" s="52"/>
    </row>
    <row r="1237" spans="1:10" s="58" customFormat="1" x14ac:dyDescent="0.25">
      <c r="A1237" s="53">
        <v>1</v>
      </c>
      <c r="B1237" s="109" t="s">
        <v>262</v>
      </c>
      <c r="C1237" s="53">
        <v>1</v>
      </c>
      <c r="D1237" s="74" t="s">
        <v>30</v>
      </c>
      <c r="E1237" s="41"/>
      <c r="F1237" s="55">
        <v>300</v>
      </c>
      <c r="G1237" s="65"/>
      <c r="H1237" s="65"/>
      <c r="I1237" s="29"/>
      <c r="J1237" s="52"/>
    </row>
    <row r="1238" spans="1:10" s="58" customFormat="1" x14ac:dyDescent="0.25">
      <c r="A1238" s="53">
        <v>1</v>
      </c>
      <c r="B1238" s="109" t="s">
        <v>262</v>
      </c>
      <c r="C1238" s="53">
        <v>1</v>
      </c>
      <c r="D1238" s="74" t="s">
        <v>216</v>
      </c>
      <c r="E1238" s="41"/>
      <c r="F1238" s="55">
        <v>50</v>
      </c>
      <c r="G1238" s="65"/>
      <c r="H1238" s="65"/>
      <c r="I1238" s="29"/>
      <c r="J1238" s="52"/>
    </row>
    <row r="1239" spans="1:10" s="58" customFormat="1" ht="30" x14ac:dyDescent="0.25">
      <c r="A1239" s="53"/>
      <c r="B1239" s="109"/>
      <c r="C1239" s="53">
        <v>1</v>
      </c>
      <c r="D1239" s="127" t="s">
        <v>150</v>
      </c>
      <c r="E1239" s="41"/>
      <c r="F1239" s="55">
        <v>100</v>
      </c>
      <c r="G1239" s="65"/>
      <c r="H1239" s="65"/>
      <c r="I1239" s="29"/>
      <c r="J1239" s="52"/>
    </row>
    <row r="1240" spans="1:10" s="58" customFormat="1" ht="45" x14ac:dyDescent="0.25">
      <c r="A1240" s="53"/>
      <c r="B1240" s="109"/>
      <c r="C1240" s="53">
        <v>1</v>
      </c>
      <c r="D1240" s="74" t="s">
        <v>282</v>
      </c>
      <c r="E1240" s="41"/>
      <c r="F1240" s="55">
        <v>3422</v>
      </c>
      <c r="G1240" s="65"/>
      <c r="H1240" s="65"/>
      <c r="I1240" s="29"/>
      <c r="J1240" s="52"/>
    </row>
    <row r="1241" spans="1:10" s="58" customFormat="1" ht="75.75" customHeight="1" x14ac:dyDescent="0.25">
      <c r="A1241" s="53">
        <v>1</v>
      </c>
      <c r="B1241" s="109" t="s">
        <v>262</v>
      </c>
      <c r="C1241" s="53">
        <v>1</v>
      </c>
      <c r="D1241" s="74" t="s">
        <v>321</v>
      </c>
      <c r="E1241" s="41"/>
      <c r="F1241" s="55">
        <v>350</v>
      </c>
      <c r="G1241" s="65"/>
      <c r="H1241" s="65"/>
      <c r="I1241" s="29"/>
      <c r="J1241" s="52"/>
    </row>
    <row r="1242" spans="1:10" s="58" customFormat="1" ht="30" x14ac:dyDescent="0.25">
      <c r="A1242" s="53"/>
      <c r="B1242" s="109"/>
      <c r="C1242" s="53">
        <v>1</v>
      </c>
      <c r="D1242" s="74" t="s">
        <v>93</v>
      </c>
      <c r="E1242" s="41"/>
      <c r="F1242" s="55">
        <v>75</v>
      </c>
      <c r="G1242" s="65"/>
      <c r="H1242" s="65"/>
      <c r="I1242" s="29"/>
      <c r="J1242" s="52"/>
    </row>
    <row r="1243" spans="1:10" s="58" customFormat="1" x14ac:dyDescent="0.25">
      <c r="A1243" s="53"/>
      <c r="B1243" s="109" t="s">
        <v>262</v>
      </c>
      <c r="C1243" s="53">
        <v>1</v>
      </c>
      <c r="D1243" s="74" t="s">
        <v>142</v>
      </c>
      <c r="E1243" s="41"/>
      <c r="F1243" s="55">
        <v>25</v>
      </c>
      <c r="G1243" s="65"/>
      <c r="H1243" s="65"/>
      <c r="I1243" s="29"/>
      <c r="J1243" s="52"/>
    </row>
    <row r="1244" spans="1:10" s="58" customFormat="1" x14ac:dyDescent="0.25">
      <c r="A1244" s="53"/>
      <c r="B1244" s="109"/>
      <c r="C1244" s="53">
        <v>1</v>
      </c>
      <c r="D1244" s="74" t="s">
        <v>50</v>
      </c>
      <c r="E1244" s="41"/>
      <c r="F1244" s="55">
        <v>10</v>
      </c>
      <c r="G1244" s="65"/>
      <c r="H1244" s="65"/>
      <c r="I1244" s="303"/>
      <c r="J1244" s="52"/>
    </row>
    <row r="1245" spans="1:10" s="58" customFormat="1" x14ac:dyDescent="0.25">
      <c r="A1245" s="53"/>
      <c r="B1245" s="109"/>
      <c r="C1245" s="53">
        <v>1</v>
      </c>
      <c r="D1245" s="74" t="s">
        <v>52</v>
      </c>
      <c r="E1245" s="41"/>
      <c r="F1245" s="55">
        <v>20</v>
      </c>
      <c r="G1245" s="65"/>
      <c r="H1245" s="65"/>
      <c r="I1245" s="303"/>
      <c r="J1245" s="52"/>
    </row>
    <row r="1246" spans="1:10" s="58" customFormat="1" ht="30" x14ac:dyDescent="0.25">
      <c r="A1246" s="53"/>
      <c r="B1246" s="109"/>
      <c r="C1246" s="53">
        <v>1</v>
      </c>
      <c r="D1246" s="74" t="s">
        <v>148</v>
      </c>
      <c r="E1246" s="41"/>
      <c r="F1246" s="55">
        <v>50</v>
      </c>
      <c r="G1246" s="65"/>
      <c r="H1246" s="65"/>
      <c r="I1246" s="29"/>
      <c r="J1246" s="52"/>
    </row>
    <row r="1247" spans="1:10" s="58" customFormat="1" x14ac:dyDescent="0.25">
      <c r="A1247" s="53"/>
      <c r="B1247" s="109"/>
      <c r="C1247" s="53">
        <v>1</v>
      </c>
      <c r="D1247" s="126" t="s">
        <v>182</v>
      </c>
      <c r="E1247" s="41"/>
      <c r="F1247" s="55">
        <v>200</v>
      </c>
      <c r="G1247" s="65"/>
      <c r="H1247" s="65"/>
      <c r="I1247" s="29"/>
      <c r="J1247" s="52"/>
    </row>
    <row r="1248" spans="1:10" s="58" customFormat="1" ht="30" x14ac:dyDescent="0.25">
      <c r="A1248" s="53"/>
      <c r="B1248" s="109" t="s">
        <v>262</v>
      </c>
      <c r="C1248" s="53">
        <v>1</v>
      </c>
      <c r="D1248" s="74" t="s">
        <v>203</v>
      </c>
      <c r="E1248" s="41"/>
      <c r="F1248" s="55">
        <v>250</v>
      </c>
      <c r="G1248" s="65"/>
      <c r="H1248" s="65"/>
      <c r="I1248" s="29"/>
      <c r="J1248" s="52"/>
    </row>
    <row r="1249" spans="1:11" s="58" customFormat="1" ht="30" x14ac:dyDescent="0.25">
      <c r="A1249" s="53"/>
      <c r="B1249" s="109" t="s">
        <v>262</v>
      </c>
      <c r="C1249" s="53">
        <v>1</v>
      </c>
      <c r="D1249" s="74" t="s">
        <v>202</v>
      </c>
      <c r="E1249" s="41"/>
      <c r="F1249" s="55">
        <v>300</v>
      </c>
      <c r="G1249" s="65"/>
      <c r="H1249" s="65"/>
      <c r="I1249" s="29"/>
      <c r="J1249" s="52"/>
    </row>
    <row r="1250" spans="1:11" s="58" customFormat="1" x14ac:dyDescent="0.25">
      <c r="A1250" s="53">
        <v>1</v>
      </c>
      <c r="B1250" s="109" t="s">
        <v>262</v>
      </c>
      <c r="C1250" s="53">
        <v>1</v>
      </c>
      <c r="D1250" s="74" t="s">
        <v>15</v>
      </c>
      <c r="E1250" s="41"/>
      <c r="F1250" s="55">
        <v>120</v>
      </c>
      <c r="G1250" s="65"/>
      <c r="H1250" s="65"/>
      <c r="I1250" s="29"/>
      <c r="J1250" s="52"/>
    </row>
    <row r="1251" spans="1:11" s="58" customFormat="1" x14ac:dyDescent="0.25">
      <c r="A1251" s="53"/>
      <c r="B1251" s="109"/>
      <c r="C1251" s="53">
        <v>1</v>
      </c>
      <c r="D1251" s="35" t="s">
        <v>31</v>
      </c>
      <c r="E1251" s="41"/>
      <c r="F1251" s="55">
        <v>150</v>
      </c>
      <c r="G1251" s="65"/>
      <c r="H1251" s="65"/>
      <c r="I1251" s="29"/>
      <c r="J1251" s="52"/>
    </row>
    <row r="1252" spans="1:11" s="58" customFormat="1" ht="30" x14ac:dyDescent="0.25">
      <c r="A1252" s="53">
        <v>1</v>
      </c>
      <c r="B1252" s="109" t="s">
        <v>262</v>
      </c>
      <c r="C1252" s="53">
        <v>1</v>
      </c>
      <c r="D1252" s="74" t="s">
        <v>143</v>
      </c>
      <c r="E1252" s="41"/>
      <c r="F1252" s="55">
        <v>15</v>
      </c>
      <c r="G1252" s="65"/>
      <c r="H1252" s="65"/>
      <c r="I1252" s="43"/>
      <c r="J1252" s="52"/>
    </row>
    <row r="1253" spans="1:11" s="58" customFormat="1" x14ac:dyDescent="0.25">
      <c r="A1253" s="53"/>
      <c r="B1253" s="109"/>
      <c r="C1253" s="53">
        <v>1</v>
      </c>
      <c r="D1253" s="74" t="s">
        <v>51</v>
      </c>
      <c r="E1253" s="41"/>
      <c r="F1253" s="55">
        <v>250</v>
      </c>
      <c r="G1253" s="65"/>
      <c r="H1253" s="65"/>
      <c r="I1253" s="303"/>
      <c r="J1253" s="52"/>
    </row>
    <row r="1254" spans="1:11" s="58" customFormat="1" x14ac:dyDescent="0.25">
      <c r="A1254" s="53"/>
      <c r="B1254" s="109"/>
      <c r="C1254" s="53">
        <v>1</v>
      </c>
      <c r="D1254" s="74" t="s">
        <v>138</v>
      </c>
      <c r="E1254" s="41"/>
      <c r="F1254" s="55">
        <v>20</v>
      </c>
      <c r="G1254" s="65"/>
      <c r="H1254" s="65"/>
      <c r="I1254" s="303"/>
      <c r="J1254" s="52"/>
    </row>
    <row r="1255" spans="1:11" x14ac:dyDescent="0.25">
      <c r="A1255" s="53">
        <v>1</v>
      </c>
      <c r="B1255" s="109" t="s">
        <v>262</v>
      </c>
      <c r="C1255" s="53">
        <v>1</v>
      </c>
      <c r="D1255" s="74" t="s">
        <v>97</v>
      </c>
      <c r="E1255" s="41"/>
      <c r="F1255" s="55">
        <v>15</v>
      </c>
      <c r="G1255" s="65"/>
      <c r="H1255" s="65"/>
      <c r="I1255" s="442"/>
    </row>
    <row r="1256" spans="1:11" s="58" customFormat="1" x14ac:dyDescent="0.25">
      <c r="A1256" s="53">
        <v>1</v>
      </c>
      <c r="B1256" s="109" t="s">
        <v>262</v>
      </c>
      <c r="C1256" s="53">
        <v>1</v>
      </c>
      <c r="D1256" s="74" t="s">
        <v>118</v>
      </c>
      <c r="E1256" s="41"/>
      <c r="F1256" s="55">
        <v>400</v>
      </c>
      <c r="G1256" s="65"/>
      <c r="H1256" s="65"/>
      <c r="I1256" s="43"/>
      <c r="J1256" s="52"/>
    </row>
    <row r="1257" spans="1:11" s="58" customFormat="1" x14ac:dyDescent="0.25">
      <c r="A1257" s="53"/>
      <c r="B1257" s="109" t="s">
        <v>262</v>
      </c>
      <c r="C1257" s="53">
        <v>1</v>
      </c>
      <c r="D1257" s="21" t="s">
        <v>198</v>
      </c>
      <c r="E1257" s="41"/>
      <c r="F1257" s="398">
        <f>F1209+F1188</f>
        <v>68028.25</v>
      </c>
      <c r="G1257" s="65"/>
      <c r="H1257" s="65"/>
      <c r="I1257" s="29"/>
      <c r="J1257" s="430"/>
      <c r="K1257" s="537"/>
    </row>
    <row r="1258" spans="1:11" s="58" customFormat="1" ht="29.25" x14ac:dyDescent="0.25">
      <c r="A1258" s="53"/>
      <c r="B1258" s="109" t="s">
        <v>262</v>
      </c>
      <c r="C1258" s="53">
        <v>1</v>
      </c>
      <c r="D1258" s="21" t="s">
        <v>199</v>
      </c>
      <c r="E1258" s="41"/>
      <c r="F1258" s="398">
        <f>F1198</f>
        <v>14245</v>
      </c>
      <c r="G1258" s="65"/>
      <c r="H1258" s="65"/>
      <c r="I1258" s="29"/>
      <c r="J1258" s="430"/>
    </row>
    <row r="1259" spans="1:11" s="58" customFormat="1" x14ac:dyDescent="0.25">
      <c r="A1259" s="53"/>
      <c r="B1259" s="109" t="s">
        <v>262</v>
      </c>
      <c r="C1259" s="53">
        <v>1</v>
      </c>
      <c r="D1259" s="21" t="s">
        <v>200</v>
      </c>
      <c r="E1259" s="41"/>
      <c r="F1259" s="398">
        <f>F1221+F1196</f>
        <v>38755.319148936171</v>
      </c>
      <c r="G1259" s="65"/>
      <c r="H1259" s="65"/>
      <c r="I1259" s="29"/>
      <c r="J1259" s="430"/>
    </row>
    <row r="1260" spans="1:11" s="58" customFormat="1" ht="29.25" x14ac:dyDescent="0.25">
      <c r="A1260" s="53"/>
      <c r="B1260" s="109" t="s">
        <v>262</v>
      </c>
      <c r="C1260" s="53">
        <v>1</v>
      </c>
      <c r="D1260" s="21" t="s">
        <v>201</v>
      </c>
      <c r="E1260" s="41"/>
      <c r="F1260" s="398">
        <f>F1225+F1227</f>
        <v>15200</v>
      </c>
      <c r="G1260" s="65"/>
      <c r="H1260" s="65"/>
      <c r="I1260" s="29"/>
      <c r="J1260" s="430"/>
    </row>
    <row r="1261" spans="1:11" s="58" customFormat="1" x14ac:dyDescent="0.25">
      <c r="A1261" s="53"/>
      <c r="B1261" s="109" t="s">
        <v>262</v>
      </c>
      <c r="C1261" s="53">
        <v>1</v>
      </c>
      <c r="D1261" s="22" t="s">
        <v>109</v>
      </c>
      <c r="E1261" s="41"/>
      <c r="F1261" s="398">
        <f>F1257+F1258+F1260+F1222*2.9+F1197*2.9+F1224/4.2</f>
        <v>207047.05952380953</v>
      </c>
      <c r="G1261" s="65"/>
      <c r="H1261" s="65"/>
      <c r="I1261" s="29"/>
      <c r="J1261" s="430"/>
    </row>
    <row r="1262" spans="1:11" s="53" customFormat="1" ht="15.75" x14ac:dyDescent="0.25">
      <c r="A1262" s="53">
        <v>1</v>
      </c>
      <c r="B1262" s="109" t="s">
        <v>262</v>
      </c>
      <c r="C1262" s="53">
        <v>1</v>
      </c>
      <c r="D1262" s="538" t="s">
        <v>7</v>
      </c>
      <c r="E1262" s="2"/>
      <c r="F1262" s="539"/>
      <c r="G1262" s="18"/>
      <c r="H1262" s="18"/>
      <c r="I1262" s="2"/>
      <c r="J1262" s="152"/>
    </row>
    <row r="1263" spans="1:11" s="53" customFormat="1" x14ac:dyDescent="0.25">
      <c r="A1263" s="53">
        <v>1</v>
      </c>
      <c r="B1263" s="109" t="s">
        <v>262</v>
      </c>
      <c r="C1263" s="53">
        <v>1</v>
      </c>
      <c r="D1263" s="44" t="s">
        <v>91</v>
      </c>
      <c r="E1263" s="18"/>
      <c r="F1263" s="540"/>
      <c r="G1263" s="18"/>
      <c r="H1263" s="324"/>
      <c r="I1263" s="2"/>
      <c r="J1263" s="152"/>
    </row>
    <row r="1264" spans="1:11" s="53" customFormat="1" x14ac:dyDescent="0.25">
      <c r="A1264" s="53">
        <v>1</v>
      </c>
      <c r="B1264" s="109" t="s">
        <v>262</v>
      </c>
      <c r="C1264" s="53">
        <v>1</v>
      </c>
      <c r="D1264" s="541" t="s">
        <v>55</v>
      </c>
      <c r="E1264" s="18">
        <v>300</v>
      </c>
      <c r="F1264" s="55">
        <v>50</v>
      </c>
      <c r="G1264" s="325">
        <v>7</v>
      </c>
      <c r="H1264" s="2">
        <f>ROUND(I1264/E1264,0)</f>
        <v>1</v>
      </c>
      <c r="I1264" s="2">
        <f>ROUND(F1264*G1264,0)</f>
        <v>350</v>
      </c>
      <c r="J1264" s="152"/>
    </row>
    <row r="1265" spans="1:10" s="53" customFormat="1" x14ac:dyDescent="0.25">
      <c r="A1265" s="53">
        <v>1</v>
      </c>
      <c r="B1265" s="109" t="s">
        <v>262</v>
      </c>
      <c r="C1265" s="53">
        <v>1</v>
      </c>
      <c r="D1265" s="541" t="s">
        <v>61</v>
      </c>
      <c r="E1265" s="18">
        <v>300</v>
      </c>
      <c r="F1265" s="55">
        <v>52</v>
      </c>
      <c r="G1265" s="325">
        <v>10</v>
      </c>
      <c r="H1265" s="2">
        <f>ROUND(I1265/E1265,0)</f>
        <v>2</v>
      </c>
      <c r="I1265" s="2">
        <f>ROUND(F1265*G1265,0)</f>
        <v>520</v>
      </c>
      <c r="J1265" s="152"/>
    </row>
    <row r="1266" spans="1:10" s="53" customFormat="1" x14ac:dyDescent="0.25">
      <c r="A1266" s="53">
        <v>1</v>
      </c>
      <c r="B1266" s="109" t="s">
        <v>262</v>
      </c>
      <c r="C1266" s="53">
        <v>1</v>
      </c>
      <c r="D1266" s="541" t="s">
        <v>19</v>
      </c>
      <c r="E1266" s="18">
        <v>300</v>
      </c>
      <c r="F1266" s="55">
        <v>153</v>
      </c>
      <c r="G1266" s="325">
        <v>7</v>
      </c>
      <c r="H1266" s="2">
        <f>ROUND(I1266/E1266,0)</f>
        <v>4</v>
      </c>
      <c r="I1266" s="2">
        <f>ROUND(F1266*G1266,0)</f>
        <v>1071</v>
      </c>
      <c r="J1266" s="152"/>
    </row>
    <row r="1267" spans="1:10" s="53" customFormat="1" x14ac:dyDescent="0.25">
      <c r="A1267" s="53">
        <v>1</v>
      </c>
      <c r="B1267" s="109" t="s">
        <v>262</v>
      </c>
      <c r="C1267" s="53">
        <v>1</v>
      </c>
      <c r="D1267" s="497" t="s">
        <v>9</v>
      </c>
      <c r="E1267" s="18"/>
      <c r="F1267" s="459">
        <f>SUM(F1264:F1266)</f>
        <v>255</v>
      </c>
      <c r="G1267" s="143">
        <f>I1267/F1267</f>
        <v>7.6117647058823525</v>
      </c>
      <c r="H1267" s="542">
        <f>SUM(H1264:H1266)</f>
        <v>7</v>
      </c>
      <c r="I1267" s="29">
        <f>SUM(I1264:I1266)</f>
        <v>1941</v>
      </c>
      <c r="J1267" s="152"/>
    </row>
    <row r="1268" spans="1:10" s="53" customFormat="1" x14ac:dyDescent="0.25">
      <c r="A1268" s="53">
        <v>1</v>
      </c>
      <c r="B1268" s="109" t="s">
        <v>262</v>
      </c>
      <c r="C1268" s="53">
        <v>1</v>
      </c>
      <c r="D1268" s="306" t="s">
        <v>71</v>
      </c>
      <c r="E1268" s="18"/>
      <c r="F1268" s="459"/>
      <c r="G1268" s="143"/>
      <c r="H1268" s="543"/>
      <c r="I1268" s="29"/>
      <c r="J1268" s="152"/>
    </row>
    <row r="1269" spans="1:10" s="53" customFormat="1" x14ac:dyDescent="0.25">
      <c r="A1269" s="53">
        <v>1</v>
      </c>
      <c r="B1269" s="109" t="s">
        <v>262</v>
      </c>
      <c r="C1269" s="53">
        <v>1</v>
      </c>
      <c r="D1269" s="544" t="s">
        <v>21</v>
      </c>
      <c r="E1269" s="545">
        <v>240</v>
      </c>
      <c r="F1269" s="63">
        <v>40</v>
      </c>
      <c r="G1269" s="546">
        <v>3</v>
      </c>
      <c r="H1269" s="2">
        <f>ROUND(I1269/E1269,0)</f>
        <v>1</v>
      </c>
      <c r="I1269" s="2">
        <f>ROUND(F1269*G1269,0)</f>
        <v>120</v>
      </c>
      <c r="J1269" s="152"/>
    </row>
    <row r="1270" spans="1:10" s="53" customFormat="1" x14ac:dyDescent="0.25">
      <c r="A1270" s="53">
        <v>1</v>
      </c>
      <c r="B1270" s="109" t="s">
        <v>262</v>
      </c>
      <c r="C1270" s="53">
        <v>1</v>
      </c>
      <c r="D1270" s="114" t="s">
        <v>55</v>
      </c>
      <c r="E1270" s="545">
        <v>240</v>
      </c>
      <c r="F1270" s="63">
        <v>420</v>
      </c>
      <c r="G1270" s="547">
        <v>8</v>
      </c>
      <c r="H1270" s="2">
        <f>ROUND(I1270/E1270,0)</f>
        <v>14</v>
      </c>
      <c r="I1270" s="2">
        <f>ROUND(F1270*G1270,0)</f>
        <v>3360</v>
      </c>
      <c r="J1270" s="152"/>
    </row>
    <row r="1271" spans="1:10" s="53" customFormat="1" x14ac:dyDescent="0.25">
      <c r="A1271" s="53">
        <v>1</v>
      </c>
      <c r="B1271" s="109" t="s">
        <v>262</v>
      </c>
      <c r="C1271" s="53">
        <v>1</v>
      </c>
      <c r="D1271" s="439" t="s">
        <v>35</v>
      </c>
      <c r="E1271" s="545">
        <v>240</v>
      </c>
      <c r="F1271" s="63">
        <v>543</v>
      </c>
      <c r="G1271" s="547">
        <v>8</v>
      </c>
      <c r="H1271" s="2">
        <f>ROUND(I1271/E1271,0)</f>
        <v>18</v>
      </c>
      <c r="I1271" s="2">
        <f>ROUND(F1271*G1271,0)</f>
        <v>4344</v>
      </c>
      <c r="J1271" s="152"/>
    </row>
    <row r="1272" spans="1:10" s="53" customFormat="1" x14ac:dyDescent="0.25">
      <c r="A1272" s="53">
        <v>1</v>
      </c>
      <c r="B1272" s="109" t="s">
        <v>262</v>
      </c>
      <c r="C1272" s="53">
        <v>1</v>
      </c>
      <c r="D1272" s="544" t="s">
        <v>69</v>
      </c>
      <c r="E1272" s="545">
        <v>240</v>
      </c>
      <c r="F1272" s="63">
        <v>130</v>
      </c>
      <c r="G1272" s="547">
        <v>3</v>
      </c>
      <c r="H1272" s="2">
        <f>ROUND(I1272/E1272,0)</f>
        <v>2</v>
      </c>
      <c r="I1272" s="2">
        <f>ROUND(F1272*G1272,0)</f>
        <v>390</v>
      </c>
      <c r="J1272" s="152"/>
    </row>
    <row r="1273" spans="1:10" s="53" customFormat="1" x14ac:dyDescent="0.25">
      <c r="A1273" s="53">
        <v>1</v>
      </c>
      <c r="B1273" s="109" t="s">
        <v>262</v>
      </c>
      <c r="C1273" s="53">
        <v>1</v>
      </c>
      <c r="D1273" s="548" t="s">
        <v>92</v>
      </c>
      <c r="E1273" s="545"/>
      <c r="F1273" s="549">
        <f>SUM(F1269:F1272)</f>
        <v>1133</v>
      </c>
      <c r="G1273" s="143">
        <f>I1273/F1273</f>
        <v>7.2497793468667258</v>
      </c>
      <c r="H1273" s="85">
        <f>SUM(H1269:H1272)</f>
        <v>35</v>
      </c>
      <c r="I1273" s="85">
        <f>SUM(I1269:I1272)</f>
        <v>8214</v>
      </c>
      <c r="J1273" s="152"/>
    </row>
    <row r="1274" spans="1:10" s="53" customFormat="1" x14ac:dyDescent="0.25">
      <c r="A1274" s="53">
        <v>1</v>
      </c>
      <c r="B1274" s="109" t="s">
        <v>262</v>
      </c>
      <c r="C1274" s="53">
        <v>1</v>
      </c>
      <c r="D1274" s="550" t="s">
        <v>86</v>
      </c>
      <c r="E1274" s="545"/>
      <c r="F1274" s="398">
        <f>F1267+F1273</f>
        <v>1388</v>
      </c>
      <c r="G1274" s="143">
        <f>I1274/F1274</f>
        <v>7.3162824207492791</v>
      </c>
      <c r="H1274" s="29">
        <f>H1267+H1273</f>
        <v>42</v>
      </c>
      <c r="I1274" s="43">
        <f>I1267+I1273</f>
        <v>10155</v>
      </c>
      <c r="J1274" s="152"/>
    </row>
    <row r="1275" spans="1:10" s="53" customFormat="1" ht="31.5" x14ac:dyDescent="0.25">
      <c r="B1275" s="109" t="s">
        <v>262</v>
      </c>
      <c r="C1275" s="53">
        <v>1</v>
      </c>
      <c r="D1275" s="72" t="s">
        <v>101</v>
      </c>
      <c r="E1275" s="545"/>
      <c r="F1275" s="551">
        <v>4045</v>
      </c>
      <c r="G1275" s="143"/>
      <c r="H1275" s="29"/>
      <c r="I1275" s="29"/>
      <c r="J1275" s="152"/>
    </row>
    <row r="1276" spans="1:10" s="53" customFormat="1" ht="31.5" x14ac:dyDescent="0.25">
      <c r="B1276" s="109" t="s">
        <v>262</v>
      </c>
      <c r="C1276" s="53">
        <v>1</v>
      </c>
      <c r="D1276" s="72" t="s">
        <v>100</v>
      </c>
      <c r="E1276" s="545"/>
      <c r="F1276" s="551">
        <v>1050</v>
      </c>
      <c r="G1276" s="143"/>
      <c r="H1276" s="29"/>
      <c r="I1276" s="29"/>
      <c r="J1276" s="152"/>
    </row>
    <row r="1277" spans="1:10" s="53" customFormat="1" ht="15.75" x14ac:dyDescent="0.25">
      <c r="A1277" s="53">
        <v>1</v>
      </c>
      <c r="B1277" s="109" t="s">
        <v>262</v>
      </c>
      <c r="C1277" s="53">
        <v>1</v>
      </c>
      <c r="D1277" s="72" t="s">
        <v>111</v>
      </c>
      <c r="E1277" s="535"/>
      <c r="F1277" s="551">
        <v>5</v>
      </c>
      <c r="G1277" s="552"/>
      <c r="H1277" s="31"/>
      <c r="I1277" s="31"/>
      <c r="J1277" s="152"/>
    </row>
    <row r="1278" spans="1:10" s="53" customFormat="1" x14ac:dyDescent="0.25">
      <c r="B1278" s="109" t="s">
        <v>262</v>
      </c>
      <c r="C1278" s="53">
        <v>1</v>
      </c>
      <c r="D1278" s="148" t="s">
        <v>159</v>
      </c>
      <c r="E1278" s="553"/>
      <c r="F1278" s="554">
        <f>SUM(F1275:F1277)</f>
        <v>5100</v>
      </c>
      <c r="G1278" s="555"/>
      <c r="H1278" s="556"/>
      <c r="I1278" s="556"/>
      <c r="J1278" s="152"/>
    </row>
    <row r="1279" spans="1:10" ht="15.75" thickBot="1" x14ac:dyDescent="0.3">
      <c r="A1279" s="53">
        <v>1</v>
      </c>
      <c r="B1279" s="109" t="s">
        <v>262</v>
      </c>
      <c r="C1279" s="53">
        <v>1</v>
      </c>
      <c r="D1279" s="557" t="s">
        <v>220</v>
      </c>
      <c r="E1279" s="558"/>
      <c r="F1279" s="559"/>
      <c r="G1279" s="560"/>
      <c r="H1279" s="560"/>
      <c r="I1279" s="560"/>
    </row>
    <row r="1280" spans="1:10" hidden="1" x14ac:dyDescent="0.25">
      <c r="A1280" s="53">
        <v>1</v>
      </c>
      <c r="B1280" s="53"/>
      <c r="C1280" s="53">
        <v>1</v>
      </c>
      <c r="D1280" s="451"/>
      <c r="E1280" s="561"/>
      <c r="F1280" s="55"/>
      <c r="G1280" s="2"/>
      <c r="H1280" s="2"/>
      <c r="I1280" s="2"/>
    </row>
    <row r="1281" spans="1:10" ht="43.5" hidden="1" x14ac:dyDescent="0.25">
      <c r="A1281" s="53">
        <v>1</v>
      </c>
      <c r="B1281" s="109" t="s">
        <v>263</v>
      </c>
      <c r="C1281" s="53">
        <v>1</v>
      </c>
      <c r="D1281" s="70" t="s">
        <v>422</v>
      </c>
      <c r="E1281" s="454"/>
      <c r="F1281" s="55"/>
      <c r="G1281" s="2"/>
      <c r="H1281" s="2"/>
      <c r="I1281" s="2"/>
    </row>
    <row r="1282" spans="1:10" s="58" customFormat="1" ht="48.75" hidden="1" customHeight="1" x14ac:dyDescent="0.25">
      <c r="A1282" s="53">
        <v>1</v>
      </c>
      <c r="B1282" s="109" t="s">
        <v>263</v>
      </c>
      <c r="C1282" s="53">
        <v>1</v>
      </c>
      <c r="D1282" s="101" t="s">
        <v>294</v>
      </c>
      <c r="E1282" s="12"/>
      <c r="F1282" s="429"/>
      <c r="G1282" s="57"/>
      <c r="H1282" s="57"/>
      <c r="I1282" s="57"/>
      <c r="J1282" s="430"/>
    </row>
    <row r="1283" spans="1:10" s="58" customFormat="1" hidden="1" x14ac:dyDescent="0.25">
      <c r="A1283" s="53"/>
      <c r="B1283" s="109" t="s">
        <v>263</v>
      </c>
      <c r="C1283" s="53">
        <v>1</v>
      </c>
      <c r="D1283" s="14" t="s">
        <v>187</v>
      </c>
      <c r="E1283" s="12"/>
      <c r="F1283" s="429">
        <f>F1285+F1286+F1288+F1290</f>
        <v>1698</v>
      </c>
      <c r="G1283" s="57"/>
      <c r="H1283" s="57"/>
      <c r="I1283" s="57"/>
      <c r="J1283" s="430"/>
    </row>
    <row r="1284" spans="1:10" s="58" customFormat="1" hidden="1" x14ac:dyDescent="0.25">
      <c r="A1284" s="53"/>
      <c r="B1284" s="109" t="s">
        <v>263</v>
      </c>
      <c r="C1284" s="53">
        <v>1</v>
      </c>
      <c r="D1284" s="18" t="s">
        <v>113</v>
      </c>
      <c r="E1284" s="12"/>
      <c r="F1284" s="429"/>
      <c r="G1284" s="57"/>
      <c r="H1284" s="57"/>
      <c r="I1284" s="57"/>
      <c r="J1284" s="430"/>
    </row>
    <row r="1285" spans="1:10" s="58" customFormat="1" ht="30" hidden="1" x14ac:dyDescent="0.25">
      <c r="A1285" s="53"/>
      <c r="B1285" s="109" t="s">
        <v>263</v>
      </c>
      <c r="C1285" s="53">
        <v>1</v>
      </c>
      <c r="D1285" s="18" t="s">
        <v>114</v>
      </c>
      <c r="E1285" s="12"/>
      <c r="F1285" s="59">
        <v>200</v>
      </c>
      <c r="G1285" s="57"/>
      <c r="H1285" s="57"/>
      <c r="I1285" s="57"/>
      <c r="J1285" s="430"/>
    </row>
    <row r="1286" spans="1:10" s="58" customFormat="1" ht="30" hidden="1" x14ac:dyDescent="0.25">
      <c r="A1286" s="53"/>
      <c r="B1286" s="109" t="s">
        <v>263</v>
      </c>
      <c r="C1286" s="53">
        <v>1</v>
      </c>
      <c r="D1286" s="15" t="s">
        <v>361</v>
      </c>
      <c r="E1286" s="12"/>
      <c r="F1286" s="59">
        <v>500</v>
      </c>
      <c r="G1286" s="57"/>
      <c r="H1286" s="57"/>
      <c r="I1286" s="57"/>
      <c r="J1286" s="430"/>
    </row>
    <row r="1287" spans="1:10" s="58" customFormat="1" ht="45" hidden="1" x14ac:dyDescent="0.25">
      <c r="A1287" s="53"/>
      <c r="B1287" s="109" t="s">
        <v>263</v>
      </c>
      <c r="C1287" s="53">
        <v>1</v>
      </c>
      <c r="D1287" s="15" t="s">
        <v>219</v>
      </c>
      <c r="E1287" s="12"/>
      <c r="F1287" s="59"/>
      <c r="G1287" s="57"/>
      <c r="H1287" s="57"/>
      <c r="I1287" s="57"/>
      <c r="J1287" s="430"/>
    </row>
    <row r="1288" spans="1:10" s="58" customFormat="1" ht="45" hidden="1" x14ac:dyDescent="0.25">
      <c r="A1288" s="53"/>
      <c r="B1288" s="109" t="s">
        <v>263</v>
      </c>
      <c r="C1288" s="53">
        <v>1</v>
      </c>
      <c r="D1288" s="15" t="s">
        <v>188</v>
      </c>
      <c r="E1288" s="12"/>
      <c r="F1288" s="59">
        <v>800</v>
      </c>
      <c r="G1288" s="57"/>
      <c r="H1288" s="57"/>
      <c r="I1288" s="57"/>
      <c r="J1288" s="430"/>
    </row>
    <row r="1289" spans="1:10" s="58" customFormat="1" ht="75" hidden="1" x14ac:dyDescent="0.25">
      <c r="A1289" s="53"/>
      <c r="B1289" s="109"/>
      <c r="C1289" s="53">
        <v>1</v>
      </c>
      <c r="D1289" s="15" t="s">
        <v>353</v>
      </c>
      <c r="E1289" s="12"/>
      <c r="F1289" s="59">
        <v>500</v>
      </c>
      <c r="G1289" s="57"/>
      <c r="H1289" s="57"/>
      <c r="I1289" s="57"/>
      <c r="J1289" s="430"/>
    </row>
    <row r="1290" spans="1:10" s="58" customFormat="1" ht="30" hidden="1" x14ac:dyDescent="0.25">
      <c r="A1290" s="53"/>
      <c r="B1290" s="109"/>
      <c r="C1290" s="53">
        <v>1</v>
      </c>
      <c r="D1290" s="15" t="s">
        <v>293</v>
      </c>
      <c r="E1290" s="12"/>
      <c r="F1290" s="59">
        <v>198</v>
      </c>
      <c r="G1290" s="57"/>
      <c r="H1290" s="57"/>
      <c r="I1290" s="57"/>
      <c r="J1290" s="430"/>
    </row>
    <row r="1291" spans="1:10" s="58" customFormat="1" hidden="1" x14ac:dyDescent="0.25">
      <c r="A1291" s="53"/>
      <c r="B1291" s="109" t="s">
        <v>263</v>
      </c>
      <c r="C1291" s="53">
        <v>1</v>
      </c>
      <c r="D1291" s="60" t="s">
        <v>88</v>
      </c>
      <c r="E1291" s="12"/>
      <c r="F1291" s="429">
        <f>F1292</f>
        <v>5082</v>
      </c>
      <c r="G1291" s="57"/>
      <c r="H1291" s="57"/>
      <c r="I1291" s="57"/>
      <c r="J1291" s="430"/>
    </row>
    <row r="1292" spans="1:10" s="58" customFormat="1" hidden="1" x14ac:dyDescent="0.25">
      <c r="A1292" s="53"/>
      <c r="B1292" s="109" t="s">
        <v>263</v>
      </c>
      <c r="C1292" s="53">
        <v>1</v>
      </c>
      <c r="D1292" s="19" t="s">
        <v>145</v>
      </c>
      <c r="E1292" s="12"/>
      <c r="F1292" s="59">
        <v>5082</v>
      </c>
      <c r="G1292" s="57"/>
      <c r="H1292" s="57"/>
      <c r="I1292" s="57"/>
      <c r="J1292" s="430"/>
    </row>
    <row r="1293" spans="1:10" s="58" customFormat="1" ht="47.25" hidden="1" x14ac:dyDescent="0.25">
      <c r="A1293" s="53">
        <v>1</v>
      </c>
      <c r="B1293" s="109" t="s">
        <v>263</v>
      </c>
      <c r="C1293" s="53">
        <v>1</v>
      </c>
      <c r="D1293" s="61" t="s">
        <v>292</v>
      </c>
      <c r="E1293" s="62"/>
      <c r="F1293" s="398">
        <f>F1294+F1299</f>
        <v>840</v>
      </c>
      <c r="G1293" s="57"/>
      <c r="H1293" s="57"/>
      <c r="I1293" s="57"/>
      <c r="J1293" s="430"/>
    </row>
    <row r="1294" spans="1:10" s="58" customFormat="1" ht="30" hidden="1" x14ac:dyDescent="0.25">
      <c r="A1294" s="53">
        <v>1</v>
      </c>
      <c r="B1294" s="109" t="s">
        <v>263</v>
      </c>
      <c r="C1294" s="53">
        <v>1</v>
      </c>
      <c r="D1294" s="16" t="s">
        <v>189</v>
      </c>
      <c r="E1294" s="62"/>
      <c r="F1294" s="55">
        <f>SUM(F1295:F1298)</f>
        <v>600</v>
      </c>
      <c r="G1294" s="57"/>
      <c r="H1294" s="57"/>
      <c r="I1294" s="57"/>
      <c r="J1294" s="430"/>
    </row>
    <row r="1295" spans="1:10" s="58" customFormat="1" ht="30" hidden="1" x14ac:dyDescent="0.25">
      <c r="A1295" s="53">
        <v>1</v>
      </c>
      <c r="B1295" s="109" t="s">
        <v>263</v>
      </c>
      <c r="C1295" s="53">
        <v>1</v>
      </c>
      <c r="D1295" s="15" t="s">
        <v>190</v>
      </c>
      <c r="E1295" s="62"/>
      <c r="F1295" s="55">
        <v>600</v>
      </c>
      <c r="G1295" s="57"/>
      <c r="H1295" s="57"/>
      <c r="I1295" s="57"/>
      <c r="J1295" s="430"/>
    </row>
    <row r="1296" spans="1:10" s="58" customFormat="1" ht="45" hidden="1" x14ac:dyDescent="0.25">
      <c r="A1296" s="53">
        <v>1</v>
      </c>
      <c r="B1296" s="109" t="s">
        <v>263</v>
      </c>
      <c r="C1296" s="53">
        <v>1</v>
      </c>
      <c r="D1296" s="15" t="s">
        <v>191</v>
      </c>
      <c r="E1296" s="62"/>
      <c r="F1296" s="433"/>
      <c r="G1296" s="57"/>
      <c r="H1296" s="57"/>
      <c r="I1296" s="57"/>
      <c r="J1296" s="430"/>
    </row>
    <row r="1297" spans="1:10" ht="30" hidden="1" x14ac:dyDescent="0.25">
      <c r="A1297" s="53">
        <v>1</v>
      </c>
      <c r="B1297" s="109" t="s">
        <v>263</v>
      </c>
      <c r="C1297" s="53">
        <v>1</v>
      </c>
      <c r="D1297" s="15" t="s">
        <v>192</v>
      </c>
      <c r="E1297" s="514"/>
      <c r="F1297" s="55"/>
      <c r="G1297" s="2"/>
      <c r="H1297" s="2"/>
      <c r="I1297" s="2"/>
    </row>
    <row r="1298" spans="1:10" ht="30" hidden="1" x14ac:dyDescent="0.25">
      <c r="A1298" s="53">
        <v>1</v>
      </c>
      <c r="B1298" s="109" t="s">
        <v>263</v>
      </c>
      <c r="C1298" s="53">
        <v>1</v>
      </c>
      <c r="D1298" s="15" t="s">
        <v>193</v>
      </c>
      <c r="E1298" s="514"/>
      <c r="F1298" s="55"/>
      <c r="G1298" s="2"/>
      <c r="H1298" s="2"/>
      <c r="I1298" s="2"/>
    </row>
    <row r="1299" spans="1:10" ht="30" hidden="1" x14ac:dyDescent="0.25">
      <c r="A1299" s="53">
        <v>1</v>
      </c>
      <c r="B1299" s="109" t="s">
        <v>263</v>
      </c>
      <c r="C1299" s="53">
        <v>1</v>
      </c>
      <c r="D1299" s="16" t="s">
        <v>194</v>
      </c>
      <c r="E1299" s="514"/>
      <c r="F1299" s="496">
        <f>SUM(F1300:F1302)</f>
        <v>240</v>
      </c>
      <c r="G1299" s="2"/>
      <c r="H1299" s="2"/>
      <c r="I1299" s="2"/>
    </row>
    <row r="1300" spans="1:10" s="58" customFormat="1" ht="30" hidden="1" x14ac:dyDescent="0.25">
      <c r="A1300" s="53">
        <v>1</v>
      </c>
      <c r="B1300" s="109" t="s">
        <v>263</v>
      </c>
      <c r="C1300" s="53">
        <v>1</v>
      </c>
      <c r="D1300" s="15" t="s">
        <v>195</v>
      </c>
      <c r="E1300" s="281"/>
      <c r="F1300" s="55">
        <v>205</v>
      </c>
      <c r="G1300" s="57"/>
      <c r="H1300" s="57"/>
      <c r="I1300" s="57"/>
      <c r="J1300" s="430"/>
    </row>
    <row r="1301" spans="1:10" s="58" customFormat="1" ht="45" hidden="1" x14ac:dyDescent="0.25">
      <c r="A1301" s="53">
        <v>1</v>
      </c>
      <c r="B1301" s="109" t="s">
        <v>263</v>
      </c>
      <c r="C1301" s="53">
        <v>1</v>
      </c>
      <c r="D1301" s="15" t="s">
        <v>196</v>
      </c>
      <c r="E1301" s="64"/>
      <c r="F1301" s="63"/>
      <c r="G1301" s="65"/>
      <c r="H1301" s="65"/>
      <c r="I1301" s="43"/>
      <c r="J1301" s="430"/>
    </row>
    <row r="1302" spans="1:10" s="58" customFormat="1" ht="45" hidden="1" x14ac:dyDescent="0.25">
      <c r="A1302" s="53">
        <v>1</v>
      </c>
      <c r="B1302" s="109" t="s">
        <v>263</v>
      </c>
      <c r="C1302" s="53">
        <v>1</v>
      </c>
      <c r="D1302" s="15" t="s">
        <v>197</v>
      </c>
      <c r="E1302" s="13"/>
      <c r="F1302" s="55">
        <v>35</v>
      </c>
      <c r="G1302" s="65"/>
      <c r="H1302" s="65"/>
      <c r="I1302" s="43"/>
      <c r="J1302" s="430"/>
    </row>
    <row r="1303" spans="1:10" s="58" customFormat="1" hidden="1" x14ac:dyDescent="0.25">
      <c r="A1303" s="53"/>
      <c r="B1303" s="109"/>
      <c r="C1303" s="53">
        <v>1</v>
      </c>
      <c r="D1303" s="12" t="s">
        <v>96</v>
      </c>
      <c r="E1303" s="13"/>
      <c r="F1303" s="55"/>
      <c r="G1303" s="65"/>
      <c r="H1303" s="65"/>
      <c r="I1303" s="43"/>
      <c r="J1303" s="430"/>
    </row>
    <row r="1304" spans="1:10" s="58" customFormat="1" hidden="1" x14ac:dyDescent="0.25">
      <c r="A1304" s="53">
        <v>1</v>
      </c>
      <c r="B1304" s="109" t="s">
        <v>263</v>
      </c>
      <c r="C1304" s="53">
        <v>1</v>
      </c>
      <c r="D1304" s="14" t="s">
        <v>296</v>
      </c>
      <c r="E1304" s="13"/>
      <c r="F1304" s="398">
        <f>F1305+F1306+F1310+F1311+F1312+F1313</f>
        <v>317.5</v>
      </c>
      <c r="G1304" s="65"/>
      <c r="H1304" s="65"/>
      <c r="I1304" s="43"/>
      <c r="J1304" s="52"/>
    </row>
    <row r="1305" spans="1:10" s="58" customFormat="1" hidden="1" x14ac:dyDescent="0.25">
      <c r="A1305" s="53">
        <v>1</v>
      </c>
      <c r="B1305" s="109" t="s">
        <v>263</v>
      </c>
      <c r="C1305" s="53">
        <v>1</v>
      </c>
      <c r="D1305" s="15" t="s">
        <v>297</v>
      </c>
      <c r="E1305" s="13"/>
      <c r="F1305" s="55"/>
      <c r="G1305" s="65"/>
      <c r="H1305" s="65"/>
      <c r="I1305" s="43"/>
      <c r="J1305" s="52"/>
    </row>
    <row r="1306" spans="1:10" s="58" customFormat="1" ht="30" hidden="1" x14ac:dyDescent="0.25">
      <c r="A1306" s="53">
        <v>1</v>
      </c>
      <c r="B1306" s="109" t="s">
        <v>263</v>
      </c>
      <c r="C1306" s="53">
        <v>1</v>
      </c>
      <c r="D1306" s="16" t="s">
        <v>298</v>
      </c>
      <c r="E1306" s="13"/>
      <c r="F1306" s="55">
        <f>F1307+F1308/4</f>
        <v>12.5</v>
      </c>
      <c r="G1306" s="65"/>
      <c r="H1306" s="65"/>
      <c r="I1306" s="43"/>
      <c r="J1306" s="52"/>
    </row>
    <row r="1307" spans="1:10" s="124" customFormat="1" hidden="1" x14ac:dyDescent="0.25">
      <c r="A1307" s="104"/>
      <c r="B1307" s="109" t="s">
        <v>263</v>
      </c>
      <c r="C1307" s="53">
        <v>1</v>
      </c>
      <c r="D1307" s="15" t="s">
        <v>299</v>
      </c>
      <c r="E1307" s="13"/>
      <c r="F1307" s="17"/>
      <c r="G1307" s="10"/>
      <c r="H1307" s="10"/>
      <c r="I1307" s="10"/>
      <c r="J1307" s="52"/>
    </row>
    <row r="1308" spans="1:10" s="58" customFormat="1" ht="30" hidden="1" x14ac:dyDescent="0.25">
      <c r="A1308" s="53">
        <v>1</v>
      </c>
      <c r="B1308" s="109" t="s">
        <v>263</v>
      </c>
      <c r="C1308" s="53">
        <v>1</v>
      </c>
      <c r="D1308" s="15" t="s">
        <v>300</v>
      </c>
      <c r="E1308" s="13"/>
      <c r="F1308" s="63">
        <v>50</v>
      </c>
      <c r="G1308" s="65"/>
      <c r="H1308" s="65"/>
      <c r="I1308" s="43"/>
      <c r="J1308" s="52"/>
    </row>
    <row r="1309" spans="1:10" s="58" customFormat="1" ht="45" hidden="1" x14ac:dyDescent="0.25">
      <c r="A1309" s="53">
        <v>1</v>
      </c>
      <c r="B1309" s="109" t="s">
        <v>263</v>
      </c>
      <c r="C1309" s="53">
        <v>1</v>
      </c>
      <c r="D1309" s="15" t="s">
        <v>301</v>
      </c>
      <c r="E1309" s="13"/>
      <c r="F1309" s="63"/>
      <c r="G1309" s="65"/>
      <c r="H1309" s="65"/>
      <c r="I1309" s="43"/>
      <c r="J1309" s="52"/>
    </row>
    <row r="1310" spans="1:10" s="58" customFormat="1" ht="45" hidden="1" x14ac:dyDescent="0.25">
      <c r="A1310" s="53">
        <v>1</v>
      </c>
      <c r="B1310" s="109" t="s">
        <v>263</v>
      </c>
      <c r="C1310" s="53">
        <v>1</v>
      </c>
      <c r="D1310" s="15" t="s">
        <v>309</v>
      </c>
      <c r="E1310" s="13"/>
      <c r="F1310" s="63"/>
      <c r="G1310" s="65"/>
      <c r="H1310" s="65"/>
      <c r="I1310" s="43"/>
      <c r="J1310" s="52"/>
    </row>
    <row r="1311" spans="1:10" s="58" customFormat="1" ht="45" hidden="1" x14ac:dyDescent="0.25">
      <c r="A1311" s="53">
        <v>1</v>
      </c>
      <c r="B1311" s="109" t="s">
        <v>263</v>
      </c>
      <c r="C1311" s="53">
        <v>1</v>
      </c>
      <c r="D1311" s="18" t="s">
        <v>310</v>
      </c>
      <c r="E1311" s="13"/>
      <c r="F1311" s="75"/>
      <c r="G1311" s="65"/>
      <c r="H1311" s="65"/>
      <c r="I1311" s="43"/>
      <c r="J1311" s="52"/>
    </row>
    <row r="1312" spans="1:10" s="58" customFormat="1" ht="75" hidden="1" x14ac:dyDescent="0.25">
      <c r="A1312" s="53"/>
      <c r="B1312" s="109"/>
      <c r="C1312" s="53">
        <v>1</v>
      </c>
      <c r="D1312" s="18" t="s">
        <v>354</v>
      </c>
      <c r="E1312" s="13"/>
      <c r="F1312" s="55">
        <v>100</v>
      </c>
      <c r="G1312" s="65"/>
      <c r="H1312" s="65"/>
      <c r="I1312" s="43"/>
      <c r="J1312" s="52"/>
    </row>
    <row r="1313" spans="1:10" s="58" customFormat="1" ht="28.5" hidden="1" x14ac:dyDescent="0.25">
      <c r="A1313" s="53"/>
      <c r="B1313" s="109"/>
      <c r="C1313" s="53">
        <v>1</v>
      </c>
      <c r="D1313" s="66" t="s">
        <v>344</v>
      </c>
      <c r="E1313" s="13"/>
      <c r="F1313" s="55">
        <f>F1314</f>
        <v>205</v>
      </c>
      <c r="G1313" s="59"/>
      <c r="H1313" s="59"/>
      <c r="I1313" s="81"/>
      <c r="J1313" s="52"/>
    </row>
    <row r="1314" spans="1:10" s="58" customFormat="1" hidden="1" x14ac:dyDescent="0.25">
      <c r="A1314" s="53"/>
      <c r="B1314" s="109"/>
      <c r="C1314" s="53">
        <v>1</v>
      </c>
      <c r="D1314" s="18" t="s">
        <v>345</v>
      </c>
      <c r="E1314" s="13"/>
      <c r="F1314" s="55">
        <v>205</v>
      </c>
      <c r="G1314" s="59"/>
      <c r="H1314" s="59"/>
      <c r="I1314" s="81"/>
      <c r="J1314" s="52"/>
    </row>
    <row r="1315" spans="1:10" s="58" customFormat="1" ht="28.5" hidden="1" x14ac:dyDescent="0.25">
      <c r="A1315" s="53"/>
      <c r="B1315" s="109"/>
      <c r="C1315" s="53">
        <v>1</v>
      </c>
      <c r="D1315" s="66" t="s">
        <v>346</v>
      </c>
      <c r="E1315" s="13"/>
      <c r="F1315" s="55"/>
      <c r="G1315" s="59"/>
      <c r="H1315" s="59"/>
      <c r="I1315" s="81"/>
      <c r="J1315" s="52"/>
    </row>
    <row r="1316" spans="1:10" s="58" customFormat="1" hidden="1" x14ac:dyDescent="0.25">
      <c r="A1316" s="53">
        <v>1</v>
      </c>
      <c r="B1316" s="109" t="s">
        <v>263</v>
      </c>
      <c r="C1316" s="53">
        <v>1</v>
      </c>
      <c r="D1316" s="14" t="s">
        <v>303</v>
      </c>
      <c r="E1316" s="13"/>
      <c r="F1316" s="55">
        <f>F1317+F1318</f>
        <v>585.10638297872333</v>
      </c>
      <c r="G1316" s="65"/>
      <c r="H1316" s="65"/>
      <c r="I1316" s="43"/>
      <c r="J1316" s="52"/>
    </row>
    <row r="1317" spans="1:10" s="58" customFormat="1" hidden="1" x14ac:dyDescent="0.25">
      <c r="A1317" s="53">
        <v>1</v>
      </c>
      <c r="B1317" s="109" t="s">
        <v>263</v>
      </c>
      <c r="C1317" s="53">
        <v>1</v>
      </c>
      <c r="D1317" s="14" t="s">
        <v>304</v>
      </c>
      <c r="E1317" s="13"/>
      <c r="F1317" s="55"/>
      <c r="G1317" s="65"/>
      <c r="H1317" s="65"/>
      <c r="I1317" s="43"/>
      <c r="J1317" s="52"/>
    </row>
    <row r="1318" spans="1:10" s="58" customFormat="1" hidden="1" x14ac:dyDescent="0.25">
      <c r="A1318" s="53">
        <v>1</v>
      </c>
      <c r="B1318" s="109" t="s">
        <v>263</v>
      </c>
      <c r="C1318" s="53">
        <v>1</v>
      </c>
      <c r="D1318" s="15" t="s">
        <v>305</v>
      </c>
      <c r="E1318" s="13"/>
      <c r="F1318" s="501">
        <f>F1319/9.4</f>
        <v>585.10638297872333</v>
      </c>
      <c r="G1318" s="65"/>
      <c r="H1318" s="65"/>
      <c r="I1318" s="43"/>
      <c r="J1318" s="52"/>
    </row>
    <row r="1319" spans="1:10" s="58" customFormat="1" hidden="1" x14ac:dyDescent="0.25">
      <c r="A1319" s="53">
        <v>1</v>
      </c>
      <c r="B1319" s="109" t="s">
        <v>263</v>
      </c>
      <c r="C1319" s="53">
        <v>1</v>
      </c>
      <c r="D1319" s="42" t="s">
        <v>314</v>
      </c>
      <c r="E1319" s="13"/>
      <c r="F1319" s="501">
        <v>5500</v>
      </c>
      <c r="G1319" s="65"/>
      <c r="H1319" s="65"/>
      <c r="I1319" s="43"/>
      <c r="J1319" s="52"/>
    </row>
    <row r="1320" spans="1:10" s="58" customFormat="1" ht="29.25" hidden="1" x14ac:dyDescent="0.25">
      <c r="A1320" s="53">
        <v>1</v>
      </c>
      <c r="B1320" s="109" t="s">
        <v>263</v>
      </c>
      <c r="C1320" s="53">
        <v>1</v>
      </c>
      <c r="D1320" s="14" t="s">
        <v>306</v>
      </c>
      <c r="E1320" s="13"/>
      <c r="F1320" s="498">
        <v>200</v>
      </c>
      <c r="G1320" s="65"/>
      <c r="H1320" s="65"/>
      <c r="I1320" s="43"/>
      <c r="J1320" s="52"/>
    </row>
    <row r="1321" spans="1:10" s="58" customFormat="1" hidden="1" x14ac:dyDescent="0.25">
      <c r="A1321" s="53">
        <v>1</v>
      </c>
      <c r="B1321" s="109" t="s">
        <v>263</v>
      </c>
      <c r="C1321" s="53">
        <v>1</v>
      </c>
      <c r="D1321" s="19" t="s">
        <v>115</v>
      </c>
      <c r="E1321" s="13"/>
      <c r="F1321" s="501"/>
      <c r="G1321" s="65"/>
      <c r="H1321" s="65"/>
      <c r="I1321" s="43"/>
      <c r="J1321" s="52"/>
    </row>
    <row r="1322" spans="1:10" s="58" customFormat="1" ht="57.75" hidden="1" x14ac:dyDescent="0.25">
      <c r="A1322" s="53">
        <v>1</v>
      </c>
      <c r="B1322" s="109" t="s">
        <v>263</v>
      </c>
      <c r="C1322" s="53">
        <v>1</v>
      </c>
      <c r="D1322" s="21" t="s">
        <v>312</v>
      </c>
      <c r="E1322" s="13"/>
      <c r="F1322" s="55"/>
      <c r="G1322" s="65"/>
      <c r="H1322" s="65"/>
      <c r="I1322" s="43"/>
      <c r="J1322" s="52"/>
    </row>
    <row r="1323" spans="1:10" s="58" customFormat="1" hidden="1" x14ac:dyDescent="0.25">
      <c r="A1323" s="53">
        <v>1</v>
      </c>
      <c r="B1323" s="109" t="s">
        <v>263</v>
      </c>
      <c r="C1323" s="53">
        <v>1</v>
      </c>
      <c r="D1323" s="20" t="s">
        <v>158</v>
      </c>
      <c r="E1323" s="13"/>
      <c r="F1323" s="398">
        <f>F1324+F1325</f>
        <v>600</v>
      </c>
      <c r="G1323" s="65"/>
      <c r="H1323" s="65"/>
      <c r="I1323" s="43"/>
      <c r="J1323" s="52"/>
    </row>
    <row r="1324" spans="1:10" s="58" customFormat="1" ht="30" hidden="1" x14ac:dyDescent="0.25">
      <c r="A1324" s="53">
        <v>1</v>
      </c>
      <c r="B1324" s="109" t="s">
        <v>263</v>
      </c>
      <c r="C1324" s="53">
        <v>1</v>
      </c>
      <c r="D1324" s="35" t="s">
        <v>202</v>
      </c>
      <c r="E1324" s="13"/>
      <c r="F1324" s="55">
        <v>300</v>
      </c>
      <c r="G1324" s="65"/>
      <c r="H1324" s="65"/>
      <c r="I1324" s="43"/>
      <c r="J1324" s="52"/>
    </row>
    <row r="1325" spans="1:10" s="58" customFormat="1" ht="30" hidden="1" x14ac:dyDescent="0.25">
      <c r="A1325" s="53">
        <v>1</v>
      </c>
      <c r="B1325" s="109" t="s">
        <v>263</v>
      </c>
      <c r="C1325" s="53">
        <v>1</v>
      </c>
      <c r="D1325" s="35" t="s">
        <v>205</v>
      </c>
      <c r="E1325" s="62"/>
      <c r="F1325" s="63">
        <v>300</v>
      </c>
      <c r="G1325" s="65"/>
      <c r="H1325" s="65"/>
      <c r="I1325" s="43"/>
      <c r="J1325" s="52"/>
    </row>
    <row r="1326" spans="1:10" s="58" customFormat="1" hidden="1" x14ac:dyDescent="0.25">
      <c r="A1326" s="53">
        <v>1</v>
      </c>
      <c r="B1326" s="109" t="s">
        <v>263</v>
      </c>
      <c r="C1326" s="53">
        <v>1</v>
      </c>
      <c r="D1326" s="21" t="s">
        <v>198</v>
      </c>
      <c r="E1326" s="62"/>
      <c r="F1326" s="477">
        <f>F1304+F1283</f>
        <v>2015.5</v>
      </c>
      <c r="G1326" s="65"/>
      <c r="H1326" s="65"/>
      <c r="I1326" s="43"/>
      <c r="J1326" s="430"/>
    </row>
    <row r="1327" spans="1:10" ht="29.25" hidden="1" x14ac:dyDescent="0.25">
      <c r="A1327" s="53">
        <v>1</v>
      </c>
      <c r="B1327" s="109" t="s">
        <v>263</v>
      </c>
      <c r="C1327" s="53">
        <v>1</v>
      </c>
      <c r="D1327" s="21" t="s">
        <v>199</v>
      </c>
      <c r="E1327" s="13"/>
      <c r="F1327" s="398">
        <f>F1293</f>
        <v>840</v>
      </c>
      <c r="G1327" s="2"/>
      <c r="H1327" s="2"/>
      <c r="I1327" s="2"/>
    </row>
    <row r="1328" spans="1:10" s="58" customFormat="1" hidden="1" x14ac:dyDescent="0.25">
      <c r="A1328" s="53">
        <v>1</v>
      </c>
      <c r="B1328" s="109" t="s">
        <v>263</v>
      </c>
      <c r="C1328" s="53">
        <v>1</v>
      </c>
      <c r="D1328" s="21" t="s">
        <v>200</v>
      </c>
      <c r="E1328" s="13"/>
      <c r="F1328" s="398">
        <f>F1316+F1291</f>
        <v>5667.1063829787236</v>
      </c>
      <c r="G1328" s="65"/>
      <c r="H1328" s="65"/>
      <c r="I1328" s="43"/>
      <c r="J1328" s="430"/>
    </row>
    <row r="1329" spans="1:10" s="58" customFormat="1" ht="29.25" hidden="1" x14ac:dyDescent="0.25">
      <c r="A1329" s="53">
        <v>1</v>
      </c>
      <c r="B1329" s="109" t="s">
        <v>263</v>
      </c>
      <c r="C1329" s="53">
        <v>1</v>
      </c>
      <c r="D1329" s="21" t="s">
        <v>201</v>
      </c>
      <c r="E1329" s="13"/>
      <c r="F1329" s="398">
        <f>F1320</f>
        <v>200</v>
      </c>
      <c r="G1329" s="65"/>
      <c r="H1329" s="65"/>
      <c r="I1329" s="43"/>
      <c r="J1329" s="430"/>
    </row>
    <row r="1330" spans="1:10" s="58" customFormat="1" hidden="1" x14ac:dyDescent="0.25">
      <c r="A1330" s="53">
        <v>1</v>
      </c>
      <c r="B1330" s="109" t="s">
        <v>263</v>
      </c>
      <c r="C1330" s="53">
        <v>1</v>
      </c>
      <c r="D1330" s="22" t="s">
        <v>109</v>
      </c>
      <c r="E1330" s="13"/>
      <c r="F1330" s="398">
        <f>F1326+F1327+F1329+F1292*2.9+F1319/4.2</f>
        <v>19102.823809523808</v>
      </c>
      <c r="G1330" s="65"/>
      <c r="H1330" s="65"/>
      <c r="I1330" s="43"/>
      <c r="J1330" s="430"/>
    </row>
    <row r="1331" spans="1:10" hidden="1" x14ac:dyDescent="0.25">
      <c r="A1331" s="53">
        <v>1</v>
      </c>
      <c r="B1331" s="109" t="s">
        <v>263</v>
      </c>
      <c r="C1331" s="53">
        <v>1</v>
      </c>
      <c r="D1331" s="44" t="s">
        <v>7</v>
      </c>
      <c r="E1331" s="514"/>
      <c r="F1331" s="398"/>
      <c r="G1331" s="2"/>
      <c r="H1331" s="2"/>
      <c r="I1331" s="2"/>
    </row>
    <row r="1332" spans="1:10" hidden="1" x14ac:dyDescent="0.25">
      <c r="A1332" s="53">
        <v>1</v>
      </c>
      <c r="B1332" s="109" t="s">
        <v>263</v>
      </c>
      <c r="C1332" s="53">
        <v>1</v>
      </c>
      <c r="D1332" s="306" t="s">
        <v>71</v>
      </c>
      <c r="E1332" s="514"/>
      <c r="F1332" s="398"/>
      <c r="G1332" s="2"/>
      <c r="H1332" s="2"/>
      <c r="I1332" s="2"/>
    </row>
    <row r="1333" spans="1:10" hidden="1" x14ac:dyDescent="0.25">
      <c r="A1333" s="53">
        <v>1</v>
      </c>
      <c r="B1333" s="109" t="s">
        <v>263</v>
      </c>
      <c r="C1333" s="53">
        <v>1</v>
      </c>
      <c r="D1333" s="439" t="s">
        <v>55</v>
      </c>
      <c r="E1333" s="54">
        <v>240</v>
      </c>
      <c r="F1333" s="55">
        <v>155</v>
      </c>
      <c r="G1333" s="209">
        <v>8</v>
      </c>
      <c r="H1333" s="2">
        <f>I1333/E1333</f>
        <v>5.166666666666667</v>
      </c>
      <c r="I1333" s="2">
        <f>ROUND(F1333*G1333,0)</f>
        <v>1240</v>
      </c>
    </row>
    <row r="1334" spans="1:10" hidden="1" x14ac:dyDescent="0.25">
      <c r="A1334" s="53">
        <v>1</v>
      </c>
      <c r="B1334" s="109" t="s">
        <v>263</v>
      </c>
      <c r="C1334" s="53">
        <v>1</v>
      </c>
      <c r="D1334" s="439" t="s">
        <v>35</v>
      </c>
      <c r="E1334" s="54">
        <v>240</v>
      </c>
      <c r="F1334" s="55">
        <v>155</v>
      </c>
      <c r="G1334" s="209">
        <v>8</v>
      </c>
      <c r="H1334" s="2">
        <f>I1334/E1334</f>
        <v>5.166666666666667</v>
      </c>
      <c r="I1334" s="2">
        <f>ROUND(F1334*G1334,0)</f>
        <v>1240</v>
      </c>
    </row>
    <row r="1335" spans="1:10" hidden="1" x14ac:dyDescent="0.25">
      <c r="A1335" s="53">
        <v>1</v>
      </c>
      <c r="B1335" s="109" t="s">
        <v>263</v>
      </c>
      <c r="C1335" s="53">
        <v>1</v>
      </c>
      <c r="D1335" s="497" t="s">
        <v>92</v>
      </c>
      <c r="E1335" s="54"/>
      <c r="F1335" s="459">
        <f>SUM(F1333:F1334)</f>
        <v>310</v>
      </c>
      <c r="G1335" s="143">
        <f>I1335/F1335</f>
        <v>8</v>
      </c>
      <c r="H1335" s="31">
        <f>SUM(H1333:H1334)</f>
        <v>10.333333333333334</v>
      </c>
      <c r="I1335" s="31">
        <f>SUM(I1333:I1334)</f>
        <v>2480</v>
      </c>
    </row>
    <row r="1336" spans="1:10" hidden="1" x14ac:dyDescent="0.25">
      <c r="A1336" s="53">
        <v>1</v>
      </c>
      <c r="B1336" s="109" t="s">
        <v>263</v>
      </c>
      <c r="C1336" s="53">
        <v>1</v>
      </c>
      <c r="D1336" s="500" t="s">
        <v>86</v>
      </c>
      <c r="E1336" s="54"/>
      <c r="F1336" s="446">
        <f>F1335</f>
        <v>310</v>
      </c>
      <c r="G1336" s="143">
        <f>I1336/F1336</f>
        <v>8</v>
      </c>
      <c r="H1336" s="302">
        <f>H1335</f>
        <v>10.333333333333334</v>
      </c>
      <c r="I1336" s="302">
        <f>I1335</f>
        <v>2480</v>
      </c>
    </row>
    <row r="1337" spans="1:10" ht="15.75" hidden="1" thickBot="1" x14ac:dyDescent="0.3">
      <c r="A1337" s="53">
        <v>1</v>
      </c>
      <c r="B1337" s="109" t="s">
        <v>263</v>
      </c>
      <c r="C1337" s="53">
        <v>1</v>
      </c>
      <c r="D1337" s="448" t="s">
        <v>220</v>
      </c>
      <c r="E1337" s="520"/>
      <c r="F1337" s="562"/>
      <c r="G1337" s="563"/>
      <c r="H1337" s="563"/>
      <c r="I1337" s="563"/>
    </row>
    <row r="1338" spans="1:10" ht="43.5" hidden="1" x14ac:dyDescent="0.25">
      <c r="A1338" s="53">
        <v>1</v>
      </c>
      <c r="B1338" s="109" t="s">
        <v>264</v>
      </c>
      <c r="C1338" s="53">
        <v>1</v>
      </c>
      <c r="D1338" s="70" t="s">
        <v>423</v>
      </c>
      <c r="E1338" s="564"/>
      <c r="F1338" s="565"/>
      <c r="G1338" s="566"/>
      <c r="H1338" s="566"/>
      <c r="I1338" s="566"/>
    </row>
    <row r="1339" spans="1:10" hidden="1" x14ac:dyDescent="0.25">
      <c r="A1339" s="53">
        <v>1</v>
      </c>
      <c r="B1339" s="109" t="s">
        <v>264</v>
      </c>
      <c r="C1339" s="53">
        <v>1</v>
      </c>
      <c r="D1339" s="395" t="s">
        <v>4</v>
      </c>
      <c r="E1339" s="227"/>
      <c r="F1339" s="55"/>
      <c r="G1339" s="2"/>
      <c r="H1339" s="2"/>
      <c r="I1339" s="2"/>
    </row>
    <row r="1340" spans="1:10" hidden="1" x14ac:dyDescent="0.25">
      <c r="A1340" s="53">
        <v>1</v>
      </c>
      <c r="B1340" s="109" t="s">
        <v>264</v>
      </c>
      <c r="C1340" s="53">
        <v>1</v>
      </c>
      <c r="D1340" s="396" t="s">
        <v>55</v>
      </c>
      <c r="E1340" s="531">
        <v>340</v>
      </c>
      <c r="F1340" s="435"/>
      <c r="G1340" s="47">
        <v>12</v>
      </c>
      <c r="H1340" s="2">
        <f>ROUND(I1340/E1340,0)</f>
        <v>0</v>
      </c>
      <c r="I1340" s="2">
        <f>ROUND(F1340*G1340,0)</f>
        <v>0</v>
      </c>
    </row>
    <row r="1341" spans="1:10" hidden="1" x14ac:dyDescent="0.25">
      <c r="A1341" s="53">
        <v>1</v>
      </c>
      <c r="B1341" s="109" t="s">
        <v>264</v>
      </c>
      <c r="C1341" s="53">
        <v>1</v>
      </c>
      <c r="D1341" s="396" t="s">
        <v>19</v>
      </c>
      <c r="E1341" s="531">
        <v>340</v>
      </c>
      <c r="F1341" s="435"/>
      <c r="G1341" s="47">
        <v>12</v>
      </c>
      <c r="H1341" s="2">
        <f>ROUND(I1341/E1341,0)</f>
        <v>0</v>
      </c>
      <c r="I1341" s="2">
        <f>ROUND(F1341*G1341,0)</f>
        <v>0</v>
      </c>
    </row>
    <row r="1342" spans="1:10" hidden="1" x14ac:dyDescent="0.25">
      <c r="A1342" s="53">
        <v>1</v>
      </c>
      <c r="B1342" s="109" t="s">
        <v>264</v>
      </c>
      <c r="C1342" s="53">
        <v>1</v>
      </c>
      <c r="D1342" s="396" t="s">
        <v>56</v>
      </c>
      <c r="E1342" s="531">
        <v>340</v>
      </c>
      <c r="F1342" s="435"/>
      <c r="G1342" s="47">
        <v>13</v>
      </c>
      <c r="H1342" s="2">
        <f>ROUND(I1342/E1342,0)</f>
        <v>0</v>
      </c>
      <c r="I1342" s="2">
        <f>ROUND(F1342*G1342,0)</f>
        <v>0</v>
      </c>
    </row>
    <row r="1343" spans="1:10" hidden="1" x14ac:dyDescent="0.25">
      <c r="A1343" s="53">
        <v>1</v>
      </c>
      <c r="B1343" s="109" t="s">
        <v>264</v>
      </c>
      <c r="C1343" s="53">
        <v>1</v>
      </c>
      <c r="D1343" s="396" t="s">
        <v>10</v>
      </c>
      <c r="E1343" s="531">
        <v>340</v>
      </c>
      <c r="F1343" s="435"/>
      <c r="G1343" s="56">
        <v>9</v>
      </c>
      <c r="H1343" s="2">
        <f>ROUND(I1343/E1343,0)</f>
        <v>0</v>
      </c>
      <c r="I1343" s="2">
        <f>ROUND(F1343*G1343,0)</f>
        <v>0</v>
      </c>
    </row>
    <row r="1344" spans="1:10" hidden="1" x14ac:dyDescent="0.25">
      <c r="A1344" s="53">
        <v>1</v>
      </c>
      <c r="B1344" s="109" t="s">
        <v>264</v>
      </c>
      <c r="C1344" s="53">
        <v>1</v>
      </c>
      <c r="D1344" s="567" t="s">
        <v>5</v>
      </c>
      <c r="E1344" s="86">
        <v>340</v>
      </c>
      <c r="F1344" s="568">
        <f>SUM(F1340:F1343)</f>
        <v>0</v>
      </c>
      <c r="G1344" s="143" t="e">
        <f>I1344/F1344</f>
        <v>#DIV/0!</v>
      </c>
      <c r="H1344" s="86">
        <f>H1340+H1341+H1342+H1343</f>
        <v>0</v>
      </c>
      <c r="I1344" s="86">
        <f>I1340+I1341+I1342+I1343</f>
        <v>0</v>
      </c>
    </row>
    <row r="1345" spans="1:10" s="58" customFormat="1" ht="60" hidden="1" x14ac:dyDescent="0.25">
      <c r="A1345" s="53">
        <v>1</v>
      </c>
      <c r="B1345" s="109" t="s">
        <v>264</v>
      </c>
      <c r="C1345" s="53">
        <v>1</v>
      </c>
      <c r="D1345" s="101" t="s">
        <v>294</v>
      </c>
      <c r="E1345" s="12"/>
      <c r="F1345" s="429"/>
      <c r="G1345" s="57"/>
      <c r="H1345" s="57"/>
      <c r="I1345" s="57"/>
      <c r="J1345" s="430"/>
    </row>
    <row r="1346" spans="1:10" s="58" customFormat="1" hidden="1" x14ac:dyDescent="0.25">
      <c r="A1346" s="53"/>
      <c r="B1346" s="109" t="s">
        <v>264</v>
      </c>
      <c r="C1346" s="53">
        <v>1</v>
      </c>
      <c r="D1346" s="14" t="s">
        <v>187</v>
      </c>
      <c r="E1346" s="12"/>
      <c r="F1346" s="429">
        <f>F1348+F1349+F1351+F1353</f>
        <v>10983</v>
      </c>
      <c r="G1346" s="57"/>
      <c r="H1346" s="57"/>
      <c r="I1346" s="57"/>
      <c r="J1346" s="430"/>
    </row>
    <row r="1347" spans="1:10" s="58" customFormat="1" hidden="1" x14ac:dyDescent="0.25">
      <c r="A1347" s="53"/>
      <c r="B1347" s="109" t="s">
        <v>264</v>
      </c>
      <c r="C1347" s="53">
        <v>1</v>
      </c>
      <c r="D1347" s="18" t="s">
        <v>113</v>
      </c>
      <c r="E1347" s="12"/>
      <c r="F1347" s="429"/>
      <c r="G1347" s="57"/>
      <c r="H1347" s="57"/>
      <c r="I1347" s="57"/>
      <c r="J1347" s="430"/>
    </row>
    <row r="1348" spans="1:10" s="58" customFormat="1" ht="30" hidden="1" x14ac:dyDescent="0.25">
      <c r="A1348" s="53"/>
      <c r="B1348" s="109" t="s">
        <v>264</v>
      </c>
      <c r="C1348" s="53">
        <v>1</v>
      </c>
      <c r="D1348" s="18" t="s">
        <v>114</v>
      </c>
      <c r="E1348" s="12"/>
      <c r="F1348" s="59">
        <v>556</v>
      </c>
      <c r="G1348" s="57"/>
      <c r="H1348" s="57"/>
      <c r="I1348" s="57"/>
      <c r="J1348" s="430"/>
    </row>
    <row r="1349" spans="1:10" s="58" customFormat="1" ht="30" hidden="1" x14ac:dyDescent="0.25">
      <c r="A1349" s="53"/>
      <c r="B1349" s="109" t="s">
        <v>264</v>
      </c>
      <c r="C1349" s="53">
        <v>1</v>
      </c>
      <c r="D1349" s="15" t="s">
        <v>361</v>
      </c>
      <c r="E1349" s="12"/>
      <c r="F1349" s="59">
        <f>9000-3500</f>
        <v>5500</v>
      </c>
      <c r="G1349" s="57"/>
      <c r="H1349" s="57"/>
      <c r="I1349" s="57"/>
      <c r="J1349" s="430"/>
    </row>
    <row r="1350" spans="1:10" s="58" customFormat="1" ht="45" hidden="1" x14ac:dyDescent="0.25">
      <c r="A1350" s="53"/>
      <c r="B1350" s="109" t="s">
        <v>264</v>
      </c>
      <c r="C1350" s="53">
        <v>1</v>
      </c>
      <c r="D1350" s="15" t="s">
        <v>219</v>
      </c>
      <c r="E1350" s="12"/>
      <c r="F1350" s="59"/>
      <c r="G1350" s="57"/>
      <c r="H1350" s="57"/>
      <c r="I1350" s="57"/>
      <c r="J1350" s="430"/>
    </row>
    <row r="1351" spans="1:10" s="58" customFormat="1" ht="45" hidden="1" x14ac:dyDescent="0.25">
      <c r="A1351" s="53"/>
      <c r="B1351" s="109" t="s">
        <v>264</v>
      </c>
      <c r="C1351" s="53">
        <v>1</v>
      </c>
      <c r="D1351" s="15" t="s">
        <v>188</v>
      </c>
      <c r="E1351" s="12"/>
      <c r="F1351" s="59">
        <f>800+3500</f>
        <v>4300</v>
      </c>
      <c r="G1351" s="57"/>
      <c r="H1351" s="57"/>
      <c r="I1351" s="57"/>
      <c r="J1351" s="430"/>
    </row>
    <row r="1352" spans="1:10" s="58" customFormat="1" ht="75" hidden="1" x14ac:dyDescent="0.25">
      <c r="A1352" s="53"/>
      <c r="B1352" s="109"/>
      <c r="C1352" s="53">
        <v>1</v>
      </c>
      <c r="D1352" s="15" t="s">
        <v>353</v>
      </c>
      <c r="E1352" s="12"/>
      <c r="F1352" s="59">
        <v>3500</v>
      </c>
      <c r="G1352" s="57"/>
      <c r="H1352" s="57"/>
      <c r="I1352" s="57"/>
      <c r="J1352" s="430"/>
    </row>
    <row r="1353" spans="1:10" s="58" customFormat="1" ht="30" hidden="1" x14ac:dyDescent="0.25">
      <c r="A1353" s="53"/>
      <c r="B1353" s="109"/>
      <c r="C1353" s="53">
        <v>1</v>
      </c>
      <c r="D1353" s="15" t="s">
        <v>293</v>
      </c>
      <c r="E1353" s="12"/>
      <c r="F1353" s="59">
        <v>627</v>
      </c>
      <c r="G1353" s="57"/>
      <c r="H1353" s="57"/>
      <c r="I1353" s="57"/>
      <c r="J1353" s="430"/>
    </row>
    <row r="1354" spans="1:10" s="58" customFormat="1" hidden="1" x14ac:dyDescent="0.25">
      <c r="A1354" s="53"/>
      <c r="B1354" s="109" t="s">
        <v>264</v>
      </c>
      <c r="C1354" s="53">
        <v>1</v>
      </c>
      <c r="D1354" s="60" t="s">
        <v>88</v>
      </c>
      <c r="E1354" s="12"/>
      <c r="F1354" s="429">
        <f>F1355</f>
        <v>5979</v>
      </c>
      <c r="G1354" s="57"/>
      <c r="H1354" s="57"/>
      <c r="I1354" s="57"/>
      <c r="J1354" s="430"/>
    </row>
    <row r="1355" spans="1:10" s="58" customFormat="1" hidden="1" x14ac:dyDescent="0.25">
      <c r="A1355" s="53"/>
      <c r="B1355" s="109" t="s">
        <v>264</v>
      </c>
      <c r="C1355" s="53">
        <v>1</v>
      </c>
      <c r="D1355" s="19" t="s">
        <v>145</v>
      </c>
      <c r="E1355" s="12"/>
      <c r="F1355" s="59">
        <v>5979</v>
      </c>
      <c r="G1355" s="57"/>
      <c r="H1355" s="57"/>
      <c r="I1355" s="57"/>
      <c r="J1355" s="430"/>
    </row>
    <row r="1356" spans="1:10" s="58" customFormat="1" ht="47.25" hidden="1" x14ac:dyDescent="0.25">
      <c r="A1356" s="53"/>
      <c r="B1356" s="109" t="s">
        <v>264</v>
      </c>
      <c r="C1356" s="53">
        <v>1</v>
      </c>
      <c r="D1356" s="61" t="s">
        <v>292</v>
      </c>
      <c r="E1356" s="12"/>
      <c r="F1356" s="429">
        <f>F1357+F1362</f>
        <v>2434</v>
      </c>
      <c r="G1356" s="57"/>
      <c r="H1356" s="57"/>
      <c r="I1356" s="57"/>
      <c r="J1356" s="430"/>
    </row>
    <row r="1357" spans="1:10" s="58" customFormat="1" ht="30" hidden="1" x14ac:dyDescent="0.25">
      <c r="A1357" s="53">
        <v>1</v>
      </c>
      <c r="B1357" s="109" t="s">
        <v>264</v>
      </c>
      <c r="C1357" s="53">
        <v>1</v>
      </c>
      <c r="D1357" s="16" t="s">
        <v>189</v>
      </c>
      <c r="E1357" s="62"/>
      <c r="F1357" s="63">
        <f>SUM(F1358:F1361)</f>
        <v>1899</v>
      </c>
      <c r="G1357" s="57"/>
      <c r="H1357" s="57"/>
      <c r="I1357" s="57"/>
      <c r="J1357" s="430"/>
    </row>
    <row r="1358" spans="1:10" s="58" customFormat="1" ht="30" hidden="1" x14ac:dyDescent="0.25">
      <c r="A1358" s="53">
        <v>1</v>
      </c>
      <c r="B1358" s="109" t="s">
        <v>264</v>
      </c>
      <c r="C1358" s="53">
        <v>1</v>
      </c>
      <c r="D1358" s="15" t="s">
        <v>190</v>
      </c>
      <c r="E1358" s="24"/>
      <c r="F1358" s="55">
        <v>1899</v>
      </c>
      <c r="G1358" s="24"/>
      <c r="H1358" s="24"/>
      <c r="I1358" s="24"/>
      <c r="J1358" s="430"/>
    </row>
    <row r="1359" spans="1:10" s="58" customFormat="1" ht="45" hidden="1" x14ac:dyDescent="0.25">
      <c r="A1359" s="53">
        <v>1</v>
      </c>
      <c r="B1359" s="109" t="s">
        <v>264</v>
      </c>
      <c r="C1359" s="53">
        <v>1</v>
      </c>
      <c r="D1359" s="15" t="s">
        <v>191</v>
      </c>
      <c r="E1359" s="62"/>
      <c r="F1359" s="63"/>
      <c r="G1359" s="57"/>
      <c r="H1359" s="57"/>
      <c r="I1359" s="57"/>
      <c r="J1359" s="430"/>
    </row>
    <row r="1360" spans="1:10" s="58" customFormat="1" ht="30" hidden="1" x14ac:dyDescent="0.25">
      <c r="A1360" s="53">
        <v>1</v>
      </c>
      <c r="B1360" s="109" t="s">
        <v>264</v>
      </c>
      <c r="C1360" s="53">
        <v>1</v>
      </c>
      <c r="D1360" s="15" t="s">
        <v>192</v>
      </c>
      <c r="E1360" s="62"/>
      <c r="F1360" s="55"/>
      <c r="G1360" s="57"/>
      <c r="H1360" s="57"/>
      <c r="I1360" s="57"/>
      <c r="J1360" s="430"/>
    </row>
    <row r="1361" spans="1:10" s="58" customFormat="1" ht="30" hidden="1" x14ac:dyDescent="0.25">
      <c r="A1361" s="53">
        <v>1</v>
      </c>
      <c r="B1361" s="109" t="s">
        <v>264</v>
      </c>
      <c r="C1361" s="53">
        <v>1</v>
      </c>
      <c r="D1361" s="15" t="s">
        <v>193</v>
      </c>
      <c r="E1361" s="62"/>
      <c r="F1361" s="55"/>
      <c r="G1361" s="57"/>
      <c r="H1361" s="57"/>
      <c r="I1361" s="57"/>
      <c r="J1361" s="430"/>
    </row>
    <row r="1362" spans="1:10" s="58" customFormat="1" ht="30" hidden="1" x14ac:dyDescent="0.25">
      <c r="A1362" s="53">
        <v>1</v>
      </c>
      <c r="B1362" s="109" t="s">
        <v>264</v>
      </c>
      <c r="C1362" s="53">
        <v>1</v>
      </c>
      <c r="D1362" s="16" t="s">
        <v>194</v>
      </c>
      <c r="E1362" s="62"/>
      <c r="F1362" s="398">
        <f>SUM(F1363:F1365)</f>
        <v>535</v>
      </c>
      <c r="G1362" s="57"/>
      <c r="H1362" s="57"/>
      <c r="I1362" s="57"/>
      <c r="J1362" s="430"/>
    </row>
    <row r="1363" spans="1:10" s="58" customFormat="1" ht="30" hidden="1" x14ac:dyDescent="0.25">
      <c r="A1363" s="53">
        <v>1</v>
      </c>
      <c r="B1363" s="109" t="s">
        <v>264</v>
      </c>
      <c r="C1363" s="53">
        <v>1</v>
      </c>
      <c r="D1363" s="15" t="s">
        <v>195</v>
      </c>
      <c r="E1363" s="62"/>
      <c r="F1363" s="433">
        <v>535</v>
      </c>
      <c r="G1363" s="57"/>
      <c r="H1363" s="57"/>
      <c r="I1363" s="57"/>
      <c r="J1363" s="430"/>
    </row>
    <row r="1364" spans="1:10" ht="45" hidden="1" x14ac:dyDescent="0.25">
      <c r="A1364" s="53">
        <v>1</v>
      </c>
      <c r="B1364" s="109" t="s">
        <v>264</v>
      </c>
      <c r="C1364" s="53">
        <v>1</v>
      </c>
      <c r="D1364" s="15" t="s">
        <v>196</v>
      </c>
      <c r="E1364" s="13"/>
      <c r="F1364" s="55"/>
      <c r="G1364" s="338"/>
      <c r="H1364" s="338"/>
      <c r="I1364" s="338"/>
    </row>
    <row r="1365" spans="1:10" ht="45" hidden="1" x14ac:dyDescent="0.25">
      <c r="A1365" s="53">
        <v>1</v>
      </c>
      <c r="B1365" s="109" t="s">
        <v>264</v>
      </c>
      <c r="C1365" s="53">
        <v>1</v>
      </c>
      <c r="D1365" s="15" t="s">
        <v>197</v>
      </c>
      <c r="E1365" s="41"/>
      <c r="F1365" s="55"/>
      <c r="G1365" s="338"/>
      <c r="H1365" s="338"/>
      <c r="I1365" s="338"/>
    </row>
    <row r="1366" spans="1:10" hidden="1" x14ac:dyDescent="0.25">
      <c r="A1366" s="53"/>
      <c r="B1366" s="109"/>
      <c r="C1366" s="53">
        <v>1</v>
      </c>
      <c r="D1366" s="12" t="s">
        <v>96</v>
      </c>
      <c r="E1366" s="41"/>
      <c r="F1366" s="55"/>
      <c r="G1366" s="338"/>
      <c r="H1366" s="338"/>
      <c r="I1366" s="338"/>
    </row>
    <row r="1367" spans="1:10" hidden="1" x14ac:dyDescent="0.25">
      <c r="A1367" s="53">
        <v>1</v>
      </c>
      <c r="B1367" s="109" t="s">
        <v>264</v>
      </c>
      <c r="C1367" s="53">
        <v>1</v>
      </c>
      <c r="D1367" s="14" t="s">
        <v>296</v>
      </c>
      <c r="E1367" s="41"/>
      <c r="F1367" s="496">
        <f>F1368+F1369+F1373+F1374+F1375+F1376</f>
        <v>600.25</v>
      </c>
      <c r="G1367" s="338"/>
      <c r="H1367" s="338"/>
      <c r="I1367" s="338"/>
    </row>
    <row r="1368" spans="1:10" s="58" customFormat="1" hidden="1" x14ac:dyDescent="0.25">
      <c r="A1368" s="53">
        <v>1</v>
      </c>
      <c r="B1368" s="109" t="s">
        <v>264</v>
      </c>
      <c r="C1368" s="53">
        <v>1</v>
      </c>
      <c r="D1368" s="15" t="s">
        <v>297</v>
      </c>
      <c r="E1368" s="281"/>
      <c r="F1368" s="55"/>
      <c r="G1368" s="57"/>
      <c r="H1368" s="57"/>
      <c r="I1368" s="57"/>
      <c r="J1368" s="52"/>
    </row>
    <row r="1369" spans="1:10" s="58" customFormat="1" ht="30" hidden="1" x14ac:dyDescent="0.25">
      <c r="A1369" s="53">
        <v>1</v>
      </c>
      <c r="B1369" s="109" t="s">
        <v>264</v>
      </c>
      <c r="C1369" s="53">
        <v>1</v>
      </c>
      <c r="D1369" s="16" t="s">
        <v>298</v>
      </c>
      <c r="E1369" s="64"/>
      <c r="F1369" s="63">
        <f>F1370+F1371/4</f>
        <v>61.25</v>
      </c>
      <c r="G1369" s="65"/>
      <c r="H1369" s="65"/>
      <c r="I1369" s="43"/>
      <c r="J1369" s="52"/>
    </row>
    <row r="1370" spans="1:10" s="124" customFormat="1" hidden="1" x14ac:dyDescent="0.25">
      <c r="A1370" s="104"/>
      <c r="B1370" s="109" t="s">
        <v>264</v>
      </c>
      <c r="C1370" s="53">
        <v>1</v>
      </c>
      <c r="D1370" s="15" t="s">
        <v>299</v>
      </c>
      <c r="E1370" s="13"/>
      <c r="F1370" s="13"/>
      <c r="G1370" s="10"/>
      <c r="H1370" s="10"/>
      <c r="I1370" s="10"/>
      <c r="J1370" s="52"/>
    </row>
    <row r="1371" spans="1:10" s="58" customFormat="1" ht="30" hidden="1" x14ac:dyDescent="0.25">
      <c r="A1371" s="53">
        <v>1</v>
      </c>
      <c r="B1371" s="109" t="s">
        <v>264</v>
      </c>
      <c r="C1371" s="53">
        <v>1</v>
      </c>
      <c r="D1371" s="15" t="s">
        <v>300</v>
      </c>
      <c r="E1371" s="13"/>
      <c r="F1371" s="55">
        <v>245</v>
      </c>
      <c r="G1371" s="65"/>
      <c r="H1371" s="65"/>
      <c r="I1371" s="43"/>
      <c r="J1371" s="52"/>
    </row>
    <row r="1372" spans="1:10" s="58" customFormat="1" ht="45" hidden="1" x14ac:dyDescent="0.25">
      <c r="A1372" s="53">
        <v>1</v>
      </c>
      <c r="B1372" s="109" t="s">
        <v>264</v>
      </c>
      <c r="C1372" s="53">
        <v>1</v>
      </c>
      <c r="D1372" s="15" t="s">
        <v>301</v>
      </c>
      <c r="E1372" s="13"/>
      <c r="F1372" s="55"/>
      <c r="G1372" s="65"/>
      <c r="H1372" s="65"/>
      <c r="I1372" s="43"/>
      <c r="J1372" s="52"/>
    </row>
    <row r="1373" spans="1:10" s="58" customFormat="1" ht="45" hidden="1" x14ac:dyDescent="0.25">
      <c r="A1373" s="53">
        <v>1</v>
      </c>
      <c r="B1373" s="109" t="s">
        <v>264</v>
      </c>
      <c r="C1373" s="53">
        <v>1</v>
      </c>
      <c r="D1373" s="15" t="s">
        <v>309</v>
      </c>
      <c r="E1373" s="13"/>
      <c r="F1373" s="63"/>
      <c r="G1373" s="65"/>
      <c r="H1373" s="65"/>
      <c r="I1373" s="43"/>
      <c r="J1373" s="52"/>
    </row>
    <row r="1374" spans="1:10" s="58" customFormat="1" ht="45" hidden="1" x14ac:dyDescent="0.25">
      <c r="A1374" s="53">
        <v>1</v>
      </c>
      <c r="B1374" s="109" t="s">
        <v>264</v>
      </c>
      <c r="C1374" s="53">
        <v>1</v>
      </c>
      <c r="D1374" s="18" t="s">
        <v>310</v>
      </c>
      <c r="E1374" s="13"/>
      <c r="F1374" s="63"/>
      <c r="G1374" s="65"/>
      <c r="H1374" s="65"/>
      <c r="I1374" s="43"/>
      <c r="J1374" s="52"/>
    </row>
    <row r="1375" spans="1:10" s="58" customFormat="1" ht="75" hidden="1" x14ac:dyDescent="0.25">
      <c r="A1375" s="53"/>
      <c r="B1375" s="109"/>
      <c r="C1375" s="53">
        <v>1</v>
      </c>
      <c r="D1375" s="18" t="s">
        <v>354</v>
      </c>
      <c r="E1375" s="13"/>
      <c r="F1375" s="55">
        <v>10</v>
      </c>
      <c r="G1375" s="65"/>
      <c r="H1375" s="65"/>
      <c r="I1375" s="43"/>
      <c r="J1375" s="52"/>
    </row>
    <row r="1376" spans="1:10" s="58" customFormat="1" ht="28.5" hidden="1" x14ac:dyDescent="0.25">
      <c r="A1376" s="53"/>
      <c r="B1376" s="109"/>
      <c r="C1376" s="53">
        <v>1</v>
      </c>
      <c r="D1376" s="66" t="s">
        <v>344</v>
      </c>
      <c r="E1376" s="13"/>
      <c r="F1376" s="55">
        <f>F1377</f>
        <v>529</v>
      </c>
      <c r="G1376" s="59"/>
      <c r="H1376" s="59"/>
      <c r="I1376" s="81"/>
      <c r="J1376" s="52"/>
    </row>
    <row r="1377" spans="1:10" s="58" customFormat="1" hidden="1" x14ac:dyDescent="0.25">
      <c r="A1377" s="53"/>
      <c r="B1377" s="109"/>
      <c r="C1377" s="53">
        <v>1</v>
      </c>
      <c r="D1377" s="18" t="s">
        <v>345</v>
      </c>
      <c r="E1377" s="13"/>
      <c r="F1377" s="55">
        <v>529</v>
      </c>
      <c r="G1377" s="59"/>
      <c r="H1377" s="59"/>
      <c r="I1377" s="81"/>
      <c r="J1377" s="52"/>
    </row>
    <row r="1378" spans="1:10" s="58" customFormat="1" ht="28.5" hidden="1" x14ac:dyDescent="0.25">
      <c r="A1378" s="53"/>
      <c r="B1378" s="109"/>
      <c r="C1378" s="53">
        <v>1</v>
      </c>
      <c r="D1378" s="66" t="s">
        <v>346</v>
      </c>
      <c r="E1378" s="13"/>
      <c r="F1378" s="55"/>
      <c r="G1378" s="59"/>
      <c r="H1378" s="59"/>
      <c r="I1378" s="81"/>
      <c r="J1378" s="52"/>
    </row>
    <row r="1379" spans="1:10" s="58" customFormat="1" hidden="1" x14ac:dyDescent="0.25">
      <c r="A1379" s="53">
        <v>1</v>
      </c>
      <c r="B1379" s="109" t="s">
        <v>264</v>
      </c>
      <c r="C1379" s="53">
        <v>1</v>
      </c>
      <c r="D1379" s="14" t="s">
        <v>303</v>
      </c>
      <c r="E1379" s="13"/>
      <c r="F1379" s="63">
        <f>F1380+F1381</f>
        <v>901.595744680851</v>
      </c>
      <c r="G1379" s="65"/>
      <c r="H1379" s="65"/>
      <c r="I1379" s="43"/>
      <c r="J1379" s="52"/>
    </row>
    <row r="1380" spans="1:10" s="58" customFormat="1" hidden="1" x14ac:dyDescent="0.25">
      <c r="A1380" s="53">
        <v>1</v>
      </c>
      <c r="B1380" s="109" t="s">
        <v>264</v>
      </c>
      <c r="C1380" s="53">
        <v>1</v>
      </c>
      <c r="D1380" s="14" t="s">
        <v>304</v>
      </c>
      <c r="E1380" s="13"/>
      <c r="F1380" s="63">
        <v>50</v>
      </c>
      <c r="G1380" s="65"/>
      <c r="H1380" s="65"/>
      <c r="I1380" s="43"/>
      <c r="J1380" s="52"/>
    </row>
    <row r="1381" spans="1:10" s="58" customFormat="1" hidden="1" x14ac:dyDescent="0.25">
      <c r="A1381" s="53">
        <v>1</v>
      </c>
      <c r="B1381" s="109" t="s">
        <v>264</v>
      </c>
      <c r="C1381" s="53">
        <v>1</v>
      </c>
      <c r="D1381" s="15" t="s">
        <v>305</v>
      </c>
      <c r="E1381" s="13"/>
      <c r="F1381" s="63">
        <f>F1382/9.4</f>
        <v>851.595744680851</v>
      </c>
      <c r="G1381" s="65"/>
      <c r="H1381" s="65"/>
      <c r="I1381" s="43"/>
      <c r="J1381" s="52"/>
    </row>
    <row r="1382" spans="1:10" s="58" customFormat="1" hidden="1" x14ac:dyDescent="0.25">
      <c r="A1382" s="53">
        <v>1</v>
      </c>
      <c r="B1382" s="109" t="s">
        <v>264</v>
      </c>
      <c r="C1382" s="53">
        <v>1</v>
      </c>
      <c r="D1382" s="42" t="s">
        <v>314</v>
      </c>
      <c r="E1382" s="13"/>
      <c r="F1382" s="75">
        <v>8005</v>
      </c>
      <c r="G1382" s="65"/>
      <c r="H1382" s="65"/>
      <c r="I1382" s="43"/>
      <c r="J1382" s="52"/>
    </row>
    <row r="1383" spans="1:10" s="58" customFormat="1" ht="29.25" hidden="1" x14ac:dyDescent="0.25">
      <c r="A1383" s="53">
        <v>1</v>
      </c>
      <c r="B1383" s="109" t="s">
        <v>264</v>
      </c>
      <c r="C1383" s="53">
        <v>1</v>
      </c>
      <c r="D1383" s="14" t="s">
        <v>306</v>
      </c>
      <c r="E1383" s="13"/>
      <c r="F1383" s="55">
        <v>667</v>
      </c>
      <c r="G1383" s="65"/>
      <c r="H1383" s="65"/>
      <c r="I1383" s="43"/>
      <c r="J1383" s="52"/>
    </row>
    <row r="1384" spans="1:10" s="58" customFormat="1" hidden="1" x14ac:dyDescent="0.25">
      <c r="A1384" s="53">
        <v>1</v>
      </c>
      <c r="B1384" s="109" t="s">
        <v>264</v>
      </c>
      <c r="C1384" s="53">
        <v>1</v>
      </c>
      <c r="D1384" s="19" t="s">
        <v>115</v>
      </c>
      <c r="E1384" s="13"/>
      <c r="F1384" s="55"/>
      <c r="G1384" s="65"/>
      <c r="H1384" s="65"/>
      <c r="I1384" s="43"/>
      <c r="J1384" s="52"/>
    </row>
    <row r="1385" spans="1:10" s="58" customFormat="1" ht="57.75" hidden="1" x14ac:dyDescent="0.25">
      <c r="A1385" s="53">
        <v>1</v>
      </c>
      <c r="B1385" s="109" t="s">
        <v>264</v>
      </c>
      <c r="C1385" s="53">
        <v>1</v>
      </c>
      <c r="D1385" s="21" t="s">
        <v>312</v>
      </c>
      <c r="E1385" s="13"/>
      <c r="F1385" s="501"/>
      <c r="G1385" s="65"/>
      <c r="H1385" s="65"/>
      <c r="I1385" s="43"/>
      <c r="J1385" s="52"/>
    </row>
    <row r="1386" spans="1:10" s="58" customFormat="1" hidden="1" x14ac:dyDescent="0.25">
      <c r="A1386" s="53">
        <v>1</v>
      </c>
      <c r="B1386" s="109" t="s">
        <v>264</v>
      </c>
      <c r="C1386" s="53">
        <v>1</v>
      </c>
      <c r="D1386" s="20" t="s">
        <v>158</v>
      </c>
      <c r="E1386" s="13"/>
      <c r="F1386" s="501">
        <f>F1387+F1388</f>
        <v>600</v>
      </c>
      <c r="G1386" s="65"/>
      <c r="H1386" s="65"/>
      <c r="I1386" s="43"/>
      <c r="J1386" s="52"/>
    </row>
    <row r="1387" spans="1:10" s="58" customFormat="1" ht="30" hidden="1" x14ac:dyDescent="0.25">
      <c r="A1387" s="53">
        <v>1</v>
      </c>
      <c r="B1387" s="109" t="s">
        <v>264</v>
      </c>
      <c r="C1387" s="53">
        <v>1</v>
      </c>
      <c r="D1387" s="35" t="s">
        <v>202</v>
      </c>
      <c r="E1387" s="13"/>
      <c r="F1387" s="501">
        <v>300</v>
      </c>
      <c r="G1387" s="65"/>
      <c r="H1387" s="65"/>
      <c r="I1387" s="43"/>
      <c r="J1387" s="52"/>
    </row>
    <row r="1388" spans="1:10" s="58" customFormat="1" ht="30" hidden="1" x14ac:dyDescent="0.25">
      <c r="A1388" s="53">
        <v>1</v>
      </c>
      <c r="B1388" s="109" t="s">
        <v>264</v>
      </c>
      <c r="C1388" s="53">
        <v>1</v>
      </c>
      <c r="D1388" s="35" t="s">
        <v>205</v>
      </c>
      <c r="E1388" s="13"/>
      <c r="F1388" s="501">
        <v>300</v>
      </c>
      <c r="G1388" s="65"/>
      <c r="H1388" s="65"/>
      <c r="I1388" s="43"/>
      <c r="J1388" s="52"/>
    </row>
    <row r="1389" spans="1:10" s="58" customFormat="1" hidden="1" x14ac:dyDescent="0.25">
      <c r="A1389" s="53">
        <v>1</v>
      </c>
      <c r="B1389" s="109" t="s">
        <v>264</v>
      </c>
      <c r="C1389" s="53">
        <v>1</v>
      </c>
      <c r="D1389" s="21" t="s">
        <v>198</v>
      </c>
      <c r="E1389" s="13"/>
      <c r="F1389" s="398">
        <f>F1346+F1367</f>
        <v>11583.25</v>
      </c>
      <c r="G1389" s="65"/>
      <c r="H1389" s="65"/>
      <c r="I1389" s="43"/>
      <c r="J1389" s="430"/>
    </row>
    <row r="1390" spans="1:10" s="58" customFormat="1" ht="29.25" hidden="1" x14ac:dyDescent="0.25">
      <c r="A1390" s="53">
        <v>1</v>
      </c>
      <c r="B1390" s="109" t="s">
        <v>264</v>
      </c>
      <c r="C1390" s="53">
        <v>1</v>
      </c>
      <c r="D1390" s="21" t="s">
        <v>199</v>
      </c>
      <c r="E1390" s="13"/>
      <c r="F1390" s="398">
        <f>F1356</f>
        <v>2434</v>
      </c>
      <c r="G1390" s="65"/>
      <c r="H1390" s="65"/>
      <c r="I1390" s="43"/>
      <c r="J1390" s="430"/>
    </row>
    <row r="1391" spans="1:10" s="58" customFormat="1" hidden="1" x14ac:dyDescent="0.25">
      <c r="A1391" s="53">
        <v>1</v>
      </c>
      <c r="B1391" s="109" t="s">
        <v>264</v>
      </c>
      <c r="C1391" s="53">
        <v>1</v>
      </c>
      <c r="D1391" s="21" t="s">
        <v>200</v>
      </c>
      <c r="E1391" s="13"/>
      <c r="F1391" s="398">
        <f>F1379+F1354</f>
        <v>6880.5957446808507</v>
      </c>
      <c r="G1391" s="65"/>
      <c r="H1391" s="65"/>
      <c r="I1391" s="43"/>
      <c r="J1391" s="430"/>
    </row>
    <row r="1392" spans="1:10" s="58" customFormat="1" ht="29.25" hidden="1" x14ac:dyDescent="0.25">
      <c r="A1392" s="53">
        <v>1</v>
      </c>
      <c r="B1392" s="109" t="s">
        <v>264</v>
      </c>
      <c r="C1392" s="53">
        <v>1</v>
      </c>
      <c r="D1392" s="21" t="s">
        <v>201</v>
      </c>
      <c r="E1392" s="62"/>
      <c r="F1392" s="432">
        <f>F1383</f>
        <v>667</v>
      </c>
      <c r="G1392" s="65"/>
      <c r="H1392" s="65"/>
      <c r="I1392" s="43"/>
      <c r="J1392" s="430"/>
    </row>
    <row r="1393" spans="1:10" s="58" customFormat="1" hidden="1" x14ac:dyDescent="0.25">
      <c r="A1393" s="53">
        <v>1</v>
      </c>
      <c r="B1393" s="109" t="s">
        <v>264</v>
      </c>
      <c r="C1393" s="53">
        <v>1</v>
      </c>
      <c r="D1393" s="22" t="s">
        <v>109</v>
      </c>
      <c r="E1393" s="62"/>
      <c r="F1393" s="477">
        <f>F1389+F1390+F1355*2.9+F1392+F1380*2.9+F1382/4.2</f>
        <v>34074.30238095238</v>
      </c>
      <c r="G1393" s="65"/>
      <c r="H1393" s="65"/>
      <c r="I1393" s="43"/>
      <c r="J1393" s="430"/>
    </row>
    <row r="1394" spans="1:10" ht="15.75" hidden="1" x14ac:dyDescent="0.25">
      <c r="A1394" s="53">
        <v>1</v>
      </c>
      <c r="B1394" s="109" t="s">
        <v>264</v>
      </c>
      <c r="C1394" s="53">
        <v>1</v>
      </c>
      <c r="D1394" s="538" t="s">
        <v>7</v>
      </c>
      <c r="E1394" s="18"/>
      <c r="F1394" s="539"/>
      <c r="G1394" s="18"/>
      <c r="H1394" s="18"/>
      <c r="I1394" s="29"/>
    </row>
    <row r="1395" spans="1:10" hidden="1" x14ac:dyDescent="0.25">
      <c r="A1395" s="53">
        <v>1</v>
      </c>
      <c r="B1395" s="109" t="s">
        <v>264</v>
      </c>
      <c r="C1395" s="53">
        <v>1</v>
      </c>
      <c r="D1395" s="44" t="s">
        <v>91</v>
      </c>
      <c r="E1395" s="18"/>
      <c r="F1395" s="540"/>
      <c r="G1395" s="18"/>
      <c r="H1395" s="324"/>
      <c r="I1395" s="29"/>
    </row>
    <row r="1396" spans="1:10" hidden="1" x14ac:dyDescent="0.25">
      <c r="A1396" s="53">
        <v>1</v>
      </c>
      <c r="B1396" s="109" t="s">
        <v>264</v>
      </c>
      <c r="C1396" s="53">
        <v>1</v>
      </c>
      <c r="D1396" s="541" t="s">
        <v>55</v>
      </c>
      <c r="E1396" s="18">
        <v>340</v>
      </c>
      <c r="F1396" s="55"/>
      <c r="G1396" s="325">
        <v>12</v>
      </c>
      <c r="H1396" s="2">
        <f>ROUND(I1396/E1396,0)</f>
        <v>0</v>
      </c>
      <c r="I1396" s="2">
        <f>ROUND(F1396*G1396,0)</f>
        <v>0</v>
      </c>
    </row>
    <row r="1397" spans="1:10" hidden="1" x14ac:dyDescent="0.25">
      <c r="A1397" s="53">
        <v>1</v>
      </c>
      <c r="B1397" s="109" t="s">
        <v>264</v>
      </c>
      <c r="C1397" s="53">
        <v>1</v>
      </c>
      <c r="D1397" s="541" t="s">
        <v>19</v>
      </c>
      <c r="E1397" s="18">
        <v>340</v>
      </c>
      <c r="F1397" s="55"/>
      <c r="G1397" s="325">
        <v>12</v>
      </c>
      <c r="H1397" s="2">
        <f>ROUND(I1397/E1397,0)</f>
        <v>0</v>
      </c>
      <c r="I1397" s="2">
        <f>ROUND(F1397*G1397,0)</f>
        <v>0</v>
      </c>
    </row>
    <row r="1398" spans="1:10" hidden="1" x14ac:dyDescent="0.25">
      <c r="A1398" s="53">
        <v>1</v>
      </c>
      <c r="B1398" s="109" t="s">
        <v>264</v>
      </c>
      <c r="C1398" s="53">
        <v>1</v>
      </c>
      <c r="D1398" s="497" t="s">
        <v>9</v>
      </c>
      <c r="E1398" s="18"/>
      <c r="F1398" s="459">
        <f>SUM(F1396:F1397)</f>
        <v>0</v>
      </c>
      <c r="G1398" s="143" t="e">
        <f>I1398/F1398</f>
        <v>#DIV/0!</v>
      </c>
      <c r="H1398" s="542">
        <f>H1396+H1397</f>
        <v>0</v>
      </c>
      <c r="I1398" s="29">
        <f>I1396+I1397</f>
        <v>0</v>
      </c>
    </row>
    <row r="1399" spans="1:10" hidden="1" x14ac:dyDescent="0.25">
      <c r="A1399" s="53">
        <v>1</v>
      </c>
      <c r="B1399" s="109" t="s">
        <v>264</v>
      </c>
      <c r="C1399" s="53">
        <v>1</v>
      </c>
      <c r="D1399" s="500" t="s">
        <v>86</v>
      </c>
      <c r="E1399" s="54"/>
      <c r="F1399" s="446">
        <f>F1398</f>
        <v>0</v>
      </c>
      <c r="G1399" s="143" t="e">
        <f>G1398</f>
        <v>#DIV/0!</v>
      </c>
      <c r="H1399" s="302">
        <f>H1398</f>
        <v>0</v>
      </c>
      <c r="I1399" s="302">
        <f>I1398</f>
        <v>0</v>
      </c>
    </row>
    <row r="1400" spans="1:10" ht="15.75" hidden="1" thickBot="1" x14ac:dyDescent="0.3">
      <c r="A1400" s="53">
        <v>1</v>
      </c>
      <c r="B1400" s="109" t="s">
        <v>264</v>
      </c>
      <c r="C1400" s="53">
        <v>1</v>
      </c>
      <c r="D1400" s="417" t="s">
        <v>220</v>
      </c>
      <c r="E1400" s="569"/>
      <c r="F1400" s="494"/>
      <c r="G1400" s="570"/>
      <c r="H1400" s="418"/>
      <c r="I1400" s="418"/>
    </row>
    <row r="1401" spans="1:10" hidden="1" x14ac:dyDescent="0.25">
      <c r="A1401" s="53">
        <v>1</v>
      </c>
      <c r="B1401" s="109" t="s">
        <v>265</v>
      </c>
      <c r="C1401" s="53">
        <v>1</v>
      </c>
      <c r="D1401" s="706" t="s">
        <v>424</v>
      </c>
      <c r="E1401" s="115"/>
      <c r="F1401" s="571"/>
      <c r="G1401" s="2"/>
      <c r="H1401" s="2"/>
      <c r="I1401" s="2"/>
    </row>
    <row r="1402" spans="1:10" hidden="1" x14ac:dyDescent="0.25">
      <c r="A1402" s="53">
        <v>1</v>
      </c>
      <c r="B1402" s="109" t="s">
        <v>265</v>
      </c>
      <c r="C1402" s="53">
        <v>1</v>
      </c>
      <c r="D1402" s="707" t="s">
        <v>102</v>
      </c>
      <c r="E1402" s="338"/>
      <c r="F1402" s="571">
        <f>F1403+F1404</f>
        <v>197428</v>
      </c>
      <c r="G1402" s="2"/>
      <c r="H1402" s="2"/>
      <c r="I1402" s="2"/>
    </row>
    <row r="1403" spans="1:10" ht="15.75" hidden="1" x14ac:dyDescent="0.25">
      <c r="A1403" s="53">
        <v>1</v>
      </c>
      <c r="B1403" s="109" t="s">
        <v>265</v>
      </c>
      <c r="C1403" s="53">
        <v>1</v>
      </c>
      <c r="D1403" s="572" t="s">
        <v>103</v>
      </c>
      <c r="E1403" s="338"/>
      <c r="F1403" s="435">
        <v>197358</v>
      </c>
      <c r="G1403" s="2"/>
      <c r="H1403" s="2"/>
      <c r="I1403" s="2"/>
    </row>
    <row r="1404" spans="1:10" ht="31.5" hidden="1" x14ac:dyDescent="0.25">
      <c r="A1404" s="53">
        <v>1</v>
      </c>
      <c r="B1404" s="109" t="s">
        <v>265</v>
      </c>
      <c r="C1404" s="53">
        <v>1</v>
      </c>
      <c r="D1404" s="572" t="s">
        <v>104</v>
      </c>
      <c r="E1404" s="338"/>
      <c r="F1404" s="394">
        <v>70</v>
      </c>
      <c r="G1404" s="2"/>
      <c r="H1404" s="2"/>
      <c r="I1404" s="2"/>
    </row>
    <row r="1405" spans="1:10" ht="15.75" hidden="1" thickBot="1" x14ac:dyDescent="0.3">
      <c r="A1405" s="53">
        <v>1</v>
      </c>
      <c r="B1405" s="109" t="s">
        <v>265</v>
      </c>
      <c r="C1405" s="53">
        <v>1</v>
      </c>
      <c r="D1405" s="448" t="s">
        <v>220</v>
      </c>
      <c r="E1405" s="573"/>
      <c r="F1405" s="574"/>
      <c r="G1405" s="573"/>
      <c r="H1405" s="573"/>
      <c r="I1405" s="573"/>
    </row>
    <row r="1406" spans="1:10" ht="21" hidden="1" customHeight="1" x14ac:dyDescent="0.25">
      <c r="A1406" s="53">
        <v>1</v>
      </c>
      <c r="B1406" s="575" t="s">
        <v>266</v>
      </c>
      <c r="C1406" s="53">
        <v>1</v>
      </c>
      <c r="D1406" s="70" t="s">
        <v>425</v>
      </c>
      <c r="E1406" s="576"/>
      <c r="F1406" s="577"/>
      <c r="G1406" s="576"/>
      <c r="H1406" s="576"/>
      <c r="I1406" s="576"/>
    </row>
    <row r="1407" spans="1:10" s="58" customFormat="1" ht="60" hidden="1" x14ac:dyDescent="0.25">
      <c r="A1407" s="53">
        <v>1</v>
      </c>
      <c r="B1407" s="575" t="s">
        <v>266</v>
      </c>
      <c r="C1407" s="53">
        <v>1</v>
      </c>
      <c r="D1407" s="101" t="s">
        <v>294</v>
      </c>
      <c r="E1407" s="12"/>
      <c r="F1407" s="429"/>
      <c r="G1407" s="57"/>
      <c r="H1407" s="57"/>
      <c r="I1407" s="57"/>
      <c r="J1407" s="430"/>
    </row>
    <row r="1408" spans="1:10" s="58" customFormat="1" hidden="1" x14ac:dyDescent="0.25">
      <c r="A1408" s="53"/>
      <c r="B1408" s="575" t="s">
        <v>266</v>
      </c>
      <c r="C1408" s="53">
        <v>1</v>
      </c>
      <c r="D1408" s="14" t="s">
        <v>187</v>
      </c>
      <c r="E1408" s="12"/>
      <c r="F1408" s="429">
        <f>F1410+F1411+F1413+F1415</f>
        <v>6716</v>
      </c>
      <c r="G1408" s="57"/>
      <c r="H1408" s="57"/>
      <c r="I1408" s="57"/>
      <c r="J1408" s="430"/>
    </row>
    <row r="1409" spans="1:10" s="58" customFormat="1" hidden="1" x14ac:dyDescent="0.25">
      <c r="A1409" s="53"/>
      <c r="B1409" s="575" t="s">
        <v>266</v>
      </c>
      <c r="C1409" s="53">
        <v>1</v>
      </c>
      <c r="D1409" s="18" t="s">
        <v>113</v>
      </c>
      <c r="E1409" s="12"/>
      <c r="F1409" s="429"/>
      <c r="G1409" s="57"/>
      <c r="H1409" s="57"/>
      <c r="I1409" s="57"/>
      <c r="J1409" s="430"/>
    </row>
    <row r="1410" spans="1:10" s="58" customFormat="1" ht="30" hidden="1" x14ac:dyDescent="0.25">
      <c r="A1410" s="53"/>
      <c r="B1410" s="575" t="s">
        <v>266</v>
      </c>
      <c r="C1410" s="53">
        <v>1</v>
      </c>
      <c r="D1410" s="18" t="s">
        <v>114</v>
      </c>
      <c r="E1410" s="12"/>
      <c r="F1410" s="59">
        <v>100</v>
      </c>
      <c r="G1410" s="57"/>
      <c r="H1410" s="57"/>
      <c r="I1410" s="57"/>
      <c r="J1410" s="430"/>
    </row>
    <row r="1411" spans="1:10" s="58" customFormat="1" ht="30" hidden="1" x14ac:dyDescent="0.25">
      <c r="A1411" s="53"/>
      <c r="B1411" s="575" t="s">
        <v>266</v>
      </c>
      <c r="C1411" s="53">
        <v>1</v>
      </c>
      <c r="D1411" s="15" t="s">
        <v>361</v>
      </c>
      <c r="E1411" s="12"/>
      <c r="F1411" s="59">
        <v>4200</v>
      </c>
      <c r="G1411" s="57"/>
      <c r="H1411" s="57"/>
      <c r="I1411" s="57"/>
      <c r="J1411" s="430"/>
    </row>
    <row r="1412" spans="1:10" s="58" customFormat="1" ht="45" hidden="1" x14ac:dyDescent="0.25">
      <c r="A1412" s="53"/>
      <c r="B1412" s="575" t="s">
        <v>266</v>
      </c>
      <c r="C1412" s="53">
        <v>1</v>
      </c>
      <c r="D1412" s="15" t="s">
        <v>219</v>
      </c>
      <c r="E1412" s="12"/>
      <c r="F1412" s="429"/>
      <c r="G1412" s="57"/>
      <c r="H1412" s="57"/>
      <c r="I1412" s="57"/>
      <c r="J1412" s="430"/>
    </row>
    <row r="1413" spans="1:10" s="58" customFormat="1" ht="45" hidden="1" x14ac:dyDescent="0.25">
      <c r="A1413" s="53"/>
      <c r="B1413" s="575" t="s">
        <v>266</v>
      </c>
      <c r="C1413" s="53">
        <v>1</v>
      </c>
      <c r="D1413" s="15" t="s">
        <v>188</v>
      </c>
      <c r="E1413" s="12"/>
      <c r="F1413" s="59">
        <v>2000</v>
      </c>
      <c r="G1413" s="57"/>
      <c r="H1413" s="57"/>
      <c r="I1413" s="57"/>
      <c r="J1413" s="430"/>
    </row>
    <row r="1414" spans="1:10" s="58" customFormat="1" ht="75" hidden="1" x14ac:dyDescent="0.25">
      <c r="A1414" s="53"/>
      <c r="B1414" s="575"/>
      <c r="C1414" s="53">
        <v>1</v>
      </c>
      <c r="D1414" s="15" t="s">
        <v>353</v>
      </c>
      <c r="E1414" s="12"/>
      <c r="F1414" s="59">
        <v>1500</v>
      </c>
      <c r="G1414" s="57"/>
      <c r="H1414" s="57"/>
      <c r="I1414" s="57"/>
      <c r="J1414" s="430"/>
    </row>
    <row r="1415" spans="1:10" s="58" customFormat="1" ht="30" hidden="1" x14ac:dyDescent="0.25">
      <c r="A1415" s="53"/>
      <c r="B1415" s="575"/>
      <c r="C1415" s="53">
        <v>1</v>
      </c>
      <c r="D1415" s="15" t="s">
        <v>293</v>
      </c>
      <c r="E1415" s="12"/>
      <c r="F1415" s="59">
        <v>416</v>
      </c>
      <c r="G1415" s="57"/>
      <c r="H1415" s="57"/>
      <c r="I1415" s="57"/>
      <c r="J1415" s="430"/>
    </row>
    <row r="1416" spans="1:10" s="58" customFormat="1" hidden="1" x14ac:dyDescent="0.25">
      <c r="A1416" s="53"/>
      <c r="B1416" s="575" t="s">
        <v>266</v>
      </c>
      <c r="C1416" s="53">
        <v>1</v>
      </c>
      <c r="D1416" s="60" t="s">
        <v>88</v>
      </c>
      <c r="E1416" s="12"/>
      <c r="F1416" s="429">
        <f>F1417</f>
        <v>3000</v>
      </c>
      <c r="G1416" s="57"/>
      <c r="H1416" s="57"/>
      <c r="I1416" s="57"/>
      <c r="J1416" s="430"/>
    </row>
    <row r="1417" spans="1:10" s="58" customFormat="1" hidden="1" x14ac:dyDescent="0.25">
      <c r="A1417" s="53"/>
      <c r="B1417" s="575" t="s">
        <v>266</v>
      </c>
      <c r="C1417" s="53">
        <v>1</v>
      </c>
      <c r="D1417" s="19" t="s">
        <v>145</v>
      </c>
      <c r="E1417" s="12"/>
      <c r="F1417" s="59">
        <v>3000</v>
      </c>
      <c r="G1417" s="57"/>
      <c r="H1417" s="57"/>
      <c r="I1417" s="57"/>
      <c r="J1417" s="430"/>
    </row>
    <row r="1418" spans="1:10" s="58" customFormat="1" ht="47.25" hidden="1" x14ac:dyDescent="0.25">
      <c r="A1418" s="53"/>
      <c r="B1418" s="575" t="s">
        <v>266</v>
      </c>
      <c r="C1418" s="53">
        <v>1</v>
      </c>
      <c r="D1418" s="61" t="s">
        <v>292</v>
      </c>
      <c r="E1418" s="12"/>
      <c r="F1418" s="429">
        <f>F1419+F1424</f>
        <v>1707</v>
      </c>
      <c r="G1418" s="57"/>
      <c r="H1418" s="57"/>
      <c r="I1418" s="57"/>
      <c r="J1418" s="430"/>
    </row>
    <row r="1419" spans="1:10" s="58" customFormat="1" ht="30" hidden="1" x14ac:dyDescent="0.25">
      <c r="A1419" s="53">
        <v>1</v>
      </c>
      <c r="B1419" s="575" t="s">
        <v>266</v>
      </c>
      <c r="C1419" s="53">
        <v>1</v>
      </c>
      <c r="D1419" s="16" t="s">
        <v>189</v>
      </c>
      <c r="E1419" s="62"/>
      <c r="F1419" s="432">
        <f>SUM(F1420:F1423)</f>
        <v>1261</v>
      </c>
      <c r="G1419" s="57"/>
      <c r="H1419" s="57"/>
      <c r="I1419" s="57"/>
      <c r="J1419" s="430"/>
    </row>
    <row r="1420" spans="1:10" s="58" customFormat="1" ht="30" hidden="1" x14ac:dyDescent="0.25">
      <c r="A1420" s="53">
        <v>1</v>
      </c>
      <c r="B1420" s="575" t="s">
        <v>266</v>
      </c>
      <c r="C1420" s="53">
        <v>1</v>
      </c>
      <c r="D1420" s="15" t="s">
        <v>190</v>
      </c>
      <c r="E1420" s="62"/>
      <c r="F1420" s="63">
        <v>1261</v>
      </c>
      <c r="G1420" s="57"/>
      <c r="H1420" s="57"/>
      <c r="I1420" s="57"/>
      <c r="J1420" s="430"/>
    </row>
    <row r="1421" spans="1:10" s="58" customFormat="1" ht="45" hidden="1" x14ac:dyDescent="0.25">
      <c r="A1421" s="53">
        <v>1</v>
      </c>
      <c r="B1421" s="575" t="s">
        <v>266</v>
      </c>
      <c r="C1421" s="53">
        <v>1</v>
      </c>
      <c r="D1421" s="15" t="s">
        <v>191</v>
      </c>
      <c r="E1421" s="62"/>
      <c r="F1421" s="55"/>
      <c r="G1421" s="57"/>
      <c r="H1421" s="57"/>
      <c r="I1421" s="57"/>
      <c r="J1421" s="430"/>
    </row>
    <row r="1422" spans="1:10" s="58" customFormat="1" ht="30" hidden="1" x14ac:dyDescent="0.25">
      <c r="A1422" s="53">
        <v>1</v>
      </c>
      <c r="B1422" s="575" t="s">
        <v>266</v>
      </c>
      <c r="C1422" s="53">
        <v>1</v>
      </c>
      <c r="D1422" s="15" t="s">
        <v>192</v>
      </c>
      <c r="E1422" s="62"/>
      <c r="F1422" s="55"/>
      <c r="G1422" s="57"/>
      <c r="H1422" s="57"/>
      <c r="I1422" s="57"/>
      <c r="J1422" s="430"/>
    </row>
    <row r="1423" spans="1:10" s="58" customFormat="1" ht="30" hidden="1" x14ac:dyDescent="0.25">
      <c r="A1423" s="53">
        <v>1</v>
      </c>
      <c r="B1423" s="575" t="s">
        <v>266</v>
      </c>
      <c r="C1423" s="53">
        <v>1</v>
      </c>
      <c r="D1423" s="15" t="s">
        <v>193</v>
      </c>
      <c r="E1423" s="62"/>
      <c r="F1423" s="55"/>
      <c r="G1423" s="57"/>
      <c r="H1423" s="57"/>
      <c r="I1423" s="57"/>
      <c r="J1423" s="430"/>
    </row>
    <row r="1424" spans="1:10" s="58" customFormat="1" ht="30" hidden="1" x14ac:dyDescent="0.25">
      <c r="A1424" s="53">
        <v>1</v>
      </c>
      <c r="B1424" s="575" t="s">
        <v>266</v>
      </c>
      <c r="C1424" s="53">
        <v>1</v>
      </c>
      <c r="D1424" s="16" t="s">
        <v>194</v>
      </c>
      <c r="E1424" s="62"/>
      <c r="F1424" s="496">
        <f>SUM(F1425:F1427)</f>
        <v>446</v>
      </c>
      <c r="G1424" s="57"/>
      <c r="H1424" s="57"/>
      <c r="I1424" s="57"/>
      <c r="J1424" s="430"/>
    </row>
    <row r="1425" spans="1:10" ht="30" hidden="1" x14ac:dyDescent="0.25">
      <c r="A1425" s="53">
        <v>1</v>
      </c>
      <c r="B1425" s="575" t="s">
        <v>266</v>
      </c>
      <c r="C1425" s="53">
        <v>1</v>
      </c>
      <c r="D1425" s="15" t="s">
        <v>195</v>
      </c>
      <c r="E1425" s="13"/>
      <c r="F1425" s="55">
        <v>446</v>
      </c>
      <c r="G1425" s="2"/>
      <c r="H1425" s="2"/>
      <c r="I1425" s="2"/>
    </row>
    <row r="1426" spans="1:10" s="58" customFormat="1" ht="45" hidden="1" x14ac:dyDescent="0.25">
      <c r="A1426" s="53">
        <v>1</v>
      </c>
      <c r="B1426" s="575" t="s">
        <v>266</v>
      </c>
      <c r="C1426" s="53">
        <v>1</v>
      </c>
      <c r="D1426" s="15" t="s">
        <v>196</v>
      </c>
      <c r="E1426" s="281"/>
      <c r="F1426" s="55"/>
      <c r="G1426" s="57"/>
      <c r="H1426" s="57"/>
      <c r="I1426" s="57"/>
      <c r="J1426" s="430"/>
    </row>
    <row r="1427" spans="1:10" s="58" customFormat="1" ht="45" hidden="1" x14ac:dyDescent="0.25">
      <c r="A1427" s="53">
        <v>1</v>
      </c>
      <c r="B1427" s="575" t="s">
        <v>266</v>
      </c>
      <c r="C1427" s="53">
        <v>1</v>
      </c>
      <c r="D1427" s="15" t="s">
        <v>197</v>
      </c>
      <c r="E1427" s="64"/>
      <c r="F1427" s="432"/>
      <c r="G1427" s="65"/>
      <c r="H1427" s="65"/>
      <c r="I1427" s="43"/>
      <c r="J1427" s="430"/>
    </row>
    <row r="1428" spans="1:10" s="58" customFormat="1" hidden="1" x14ac:dyDescent="0.25">
      <c r="A1428" s="53"/>
      <c r="B1428" s="575"/>
      <c r="C1428" s="53">
        <v>1</v>
      </c>
      <c r="D1428" s="12" t="s">
        <v>96</v>
      </c>
      <c r="E1428" s="64"/>
      <c r="F1428" s="477"/>
      <c r="G1428" s="65"/>
      <c r="H1428" s="65"/>
      <c r="I1428" s="43"/>
      <c r="J1428" s="430"/>
    </row>
    <row r="1429" spans="1:10" s="58" customFormat="1" hidden="1" x14ac:dyDescent="0.25">
      <c r="A1429" s="53">
        <v>1</v>
      </c>
      <c r="B1429" s="575" t="s">
        <v>266</v>
      </c>
      <c r="C1429" s="53">
        <v>1</v>
      </c>
      <c r="D1429" s="14" t="s">
        <v>296</v>
      </c>
      <c r="E1429" s="13"/>
      <c r="F1429" s="55">
        <f>F1430+F1431+F1436+F1435+F1437+F1438</f>
        <v>6708.5</v>
      </c>
      <c r="G1429" s="65"/>
      <c r="H1429" s="65"/>
      <c r="I1429" s="43"/>
      <c r="J1429" s="52"/>
    </row>
    <row r="1430" spans="1:10" s="58" customFormat="1" hidden="1" x14ac:dyDescent="0.25">
      <c r="A1430" s="53">
        <v>1</v>
      </c>
      <c r="B1430" s="575" t="s">
        <v>266</v>
      </c>
      <c r="C1430" s="53">
        <v>1</v>
      </c>
      <c r="D1430" s="15" t="s">
        <v>297</v>
      </c>
      <c r="E1430" s="13"/>
      <c r="F1430" s="55"/>
      <c r="G1430" s="65"/>
      <c r="H1430" s="65"/>
      <c r="I1430" s="43"/>
      <c r="J1430" s="52"/>
    </row>
    <row r="1431" spans="1:10" s="58" customFormat="1" ht="30" hidden="1" x14ac:dyDescent="0.25">
      <c r="A1431" s="53">
        <v>1</v>
      </c>
      <c r="B1431" s="575" t="s">
        <v>266</v>
      </c>
      <c r="C1431" s="53">
        <v>1</v>
      </c>
      <c r="D1431" s="16" t="s">
        <v>298</v>
      </c>
      <c r="E1431" s="13"/>
      <c r="F1431" s="55">
        <f>F1432+F1433/4</f>
        <v>5665.5</v>
      </c>
      <c r="G1431" s="65"/>
      <c r="H1431" s="65"/>
      <c r="I1431" s="43"/>
      <c r="J1431" s="52"/>
    </row>
    <row r="1432" spans="1:10" s="124" customFormat="1" hidden="1" x14ac:dyDescent="0.25">
      <c r="A1432" s="104"/>
      <c r="B1432" s="575" t="s">
        <v>266</v>
      </c>
      <c r="C1432" s="53">
        <v>1</v>
      </c>
      <c r="D1432" s="15" t="s">
        <v>299</v>
      </c>
      <c r="E1432" s="13"/>
      <c r="F1432" s="17">
        <v>3159</v>
      </c>
      <c r="G1432" s="10"/>
      <c r="H1432" s="10"/>
      <c r="I1432" s="10"/>
      <c r="J1432" s="52"/>
    </row>
    <row r="1433" spans="1:10" s="58" customFormat="1" ht="30" hidden="1" x14ac:dyDescent="0.25">
      <c r="A1433" s="53">
        <v>1</v>
      </c>
      <c r="B1433" s="575" t="s">
        <v>266</v>
      </c>
      <c r="C1433" s="53">
        <v>1</v>
      </c>
      <c r="D1433" s="15" t="s">
        <v>300</v>
      </c>
      <c r="E1433" s="13"/>
      <c r="F1433" s="55">
        <v>10026</v>
      </c>
      <c r="G1433" s="65"/>
      <c r="H1433" s="65"/>
      <c r="I1433" s="43"/>
      <c r="J1433" s="52"/>
    </row>
    <row r="1434" spans="1:10" s="58" customFormat="1" ht="45" hidden="1" x14ac:dyDescent="0.25">
      <c r="A1434" s="53">
        <v>1</v>
      </c>
      <c r="B1434" s="575" t="s">
        <v>266</v>
      </c>
      <c r="C1434" s="53">
        <v>1</v>
      </c>
      <c r="D1434" s="15" t="s">
        <v>301</v>
      </c>
      <c r="E1434" s="13"/>
      <c r="F1434" s="55"/>
      <c r="G1434" s="65"/>
      <c r="H1434" s="65"/>
      <c r="I1434" s="43"/>
      <c r="J1434" s="52"/>
    </row>
    <row r="1435" spans="1:10" s="58" customFormat="1" ht="45" hidden="1" x14ac:dyDescent="0.25">
      <c r="A1435" s="53">
        <v>1</v>
      </c>
      <c r="B1435" s="575" t="s">
        <v>266</v>
      </c>
      <c r="C1435" s="53">
        <v>1</v>
      </c>
      <c r="D1435" s="15" t="s">
        <v>309</v>
      </c>
      <c r="E1435" s="13"/>
      <c r="F1435" s="63"/>
      <c r="G1435" s="65"/>
      <c r="H1435" s="65"/>
      <c r="I1435" s="43"/>
      <c r="J1435" s="52"/>
    </row>
    <row r="1436" spans="1:10" s="58" customFormat="1" ht="45" hidden="1" x14ac:dyDescent="0.25">
      <c r="A1436" s="53">
        <v>1</v>
      </c>
      <c r="B1436" s="575" t="s">
        <v>266</v>
      </c>
      <c r="C1436" s="53">
        <v>1</v>
      </c>
      <c r="D1436" s="18" t="s">
        <v>310</v>
      </c>
      <c r="E1436" s="13"/>
      <c r="F1436" s="63">
        <v>400</v>
      </c>
      <c r="G1436" s="65"/>
      <c r="H1436" s="65"/>
      <c r="I1436" s="43"/>
      <c r="J1436" s="52"/>
    </row>
    <row r="1437" spans="1:10" s="58" customFormat="1" ht="75" hidden="1" x14ac:dyDescent="0.25">
      <c r="A1437" s="53"/>
      <c r="B1437" s="575"/>
      <c r="C1437" s="53">
        <v>1</v>
      </c>
      <c r="D1437" s="18" t="s">
        <v>354</v>
      </c>
      <c r="E1437" s="13"/>
      <c r="F1437" s="55">
        <v>300</v>
      </c>
      <c r="G1437" s="65"/>
      <c r="H1437" s="65"/>
      <c r="I1437" s="43"/>
      <c r="J1437" s="52"/>
    </row>
    <row r="1438" spans="1:10" s="58" customFormat="1" ht="28.5" hidden="1" x14ac:dyDescent="0.25">
      <c r="A1438" s="53"/>
      <c r="B1438" s="575"/>
      <c r="C1438" s="53">
        <v>1</v>
      </c>
      <c r="D1438" s="66" t="s">
        <v>344</v>
      </c>
      <c r="E1438" s="13"/>
      <c r="F1438" s="55">
        <f>F1439</f>
        <v>343</v>
      </c>
      <c r="G1438" s="59"/>
      <c r="H1438" s="59"/>
      <c r="I1438" s="81"/>
      <c r="J1438" s="52"/>
    </row>
    <row r="1439" spans="1:10" s="58" customFormat="1" hidden="1" x14ac:dyDescent="0.25">
      <c r="A1439" s="53"/>
      <c r="B1439" s="575"/>
      <c r="C1439" s="53">
        <v>1</v>
      </c>
      <c r="D1439" s="18" t="s">
        <v>345</v>
      </c>
      <c r="E1439" s="13"/>
      <c r="F1439" s="55">
        <v>343</v>
      </c>
      <c r="G1439" s="59"/>
      <c r="H1439" s="59"/>
      <c r="I1439" s="81"/>
      <c r="J1439" s="52"/>
    </row>
    <row r="1440" spans="1:10" s="58" customFormat="1" ht="28.5" hidden="1" x14ac:dyDescent="0.25">
      <c r="A1440" s="53"/>
      <c r="B1440" s="575"/>
      <c r="C1440" s="53">
        <v>1</v>
      </c>
      <c r="D1440" s="66" t="s">
        <v>346</v>
      </c>
      <c r="E1440" s="13"/>
      <c r="F1440" s="55"/>
      <c r="G1440" s="59"/>
      <c r="H1440" s="59"/>
      <c r="I1440" s="81"/>
      <c r="J1440" s="52"/>
    </row>
    <row r="1441" spans="1:10" s="58" customFormat="1" hidden="1" x14ac:dyDescent="0.25">
      <c r="A1441" s="53">
        <v>1</v>
      </c>
      <c r="B1441" s="575" t="s">
        <v>266</v>
      </c>
      <c r="C1441" s="53">
        <v>1</v>
      </c>
      <c r="D1441" s="14" t="s">
        <v>303</v>
      </c>
      <c r="E1441" s="13"/>
      <c r="F1441" s="63">
        <f>F1443</f>
        <v>7514.5744680851058</v>
      </c>
      <c r="G1441" s="65"/>
      <c r="H1441" s="65"/>
      <c r="I1441" s="43"/>
      <c r="J1441" s="52"/>
    </row>
    <row r="1442" spans="1:10" s="58" customFormat="1" hidden="1" x14ac:dyDescent="0.25">
      <c r="A1442" s="53">
        <v>1</v>
      </c>
      <c r="B1442" s="575" t="s">
        <v>266</v>
      </c>
      <c r="C1442" s="53">
        <v>1</v>
      </c>
      <c r="D1442" s="14" t="s">
        <v>304</v>
      </c>
      <c r="E1442" s="13"/>
      <c r="F1442" s="75"/>
      <c r="G1442" s="65"/>
      <c r="H1442" s="65"/>
      <c r="I1442" s="43"/>
      <c r="J1442" s="52"/>
    </row>
    <row r="1443" spans="1:10" s="58" customFormat="1" hidden="1" x14ac:dyDescent="0.25">
      <c r="A1443" s="53">
        <v>1</v>
      </c>
      <c r="B1443" s="575" t="s">
        <v>266</v>
      </c>
      <c r="C1443" s="53">
        <v>1</v>
      </c>
      <c r="D1443" s="15" t="s">
        <v>305</v>
      </c>
      <c r="E1443" s="13"/>
      <c r="F1443" s="55">
        <f>F1444/9.4</f>
        <v>7514.5744680851058</v>
      </c>
      <c r="G1443" s="65"/>
      <c r="H1443" s="65"/>
      <c r="I1443" s="43"/>
      <c r="J1443" s="52"/>
    </row>
    <row r="1444" spans="1:10" s="58" customFormat="1" hidden="1" x14ac:dyDescent="0.25">
      <c r="A1444" s="53">
        <v>1</v>
      </c>
      <c r="B1444" s="575" t="s">
        <v>266</v>
      </c>
      <c r="C1444" s="53">
        <v>1</v>
      </c>
      <c r="D1444" s="42" t="s">
        <v>314</v>
      </c>
      <c r="E1444" s="13"/>
      <c r="F1444" s="55">
        <v>70637</v>
      </c>
      <c r="G1444" s="65"/>
      <c r="H1444" s="65"/>
      <c r="I1444" s="43"/>
      <c r="J1444" s="52"/>
    </row>
    <row r="1445" spans="1:10" s="58" customFormat="1" ht="29.25" hidden="1" x14ac:dyDescent="0.25">
      <c r="A1445" s="53">
        <v>1</v>
      </c>
      <c r="B1445" s="575" t="s">
        <v>266</v>
      </c>
      <c r="C1445" s="53">
        <v>1</v>
      </c>
      <c r="D1445" s="14" t="s">
        <v>306</v>
      </c>
      <c r="E1445" s="13"/>
      <c r="F1445" s="501">
        <v>384</v>
      </c>
      <c r="G1445" s="65"/>
      <c r="H1445" s="65"/>
      <c r="I1445" s="43"/>
      <c r="J1445" s="52"/>
    </row>
    <row r="1446" spans="1:10" s="58" customFormat="1" hidden="1" x14ac:dyDescent="0.25">
      <c r="A1446" s="53">
        <v>1</v>
      </c>
      <c r="B1446" s="575" t="s">
        <v>266</v>
      </c>
      <c r="C1446" s="53">
        <v>1</v>
      </c>
      <c r="D1446" s="19" t="s">
        <v>115</v>
      </c>
      <c r="E1446" s="13"/>
      <c r="F1446" s="501"/>
      <c r="G1446" s="65"/>
      <c r="H1446" s="65"/>
      <c r="I1446" s="43"/>
      <c r="J1446" s="52"/>
    </row>
    <row r="1447" spans="1:10" s="58" customFormat="1" ht="57.75" hidden="1" x14ac:dyDescent="0.25">
      <c r="A1447" s="53">
        <v>1</v>
      </c>
      <c r="B1447" s="575" t="s">
        <v>266</v>
      </c>
      <c r="C1447" s="53">
        <v>1</v>
      </c>
      <c r="D1447" s="21" t="s">
        <v>312</v>
      </c>
      <c r="E1447" s="13"/>
      <c r="F1447" s="501"/>
      <c r="G1447" s="65"/>
      <c r="H1447" s="65"/>
      <c r="I1447" s="43"/>
      <c r="J1447" s="52"/>
    </row>
    <row r="1448" spans="1:10" s="58" customFormat="1" hidden="1" x14ac:dyDescent="0.25">
      <c r="A1448" s="53">
        <v>1</v>
      </c>
      <c r="B1448" s="575" t="s">
        <v>266</v>
      </c>
      <c r="C1448" s="53">
        <v>1</v>
      </c>
      <c r="D1448" s="20" t="s">
        <v>158</v>
      </c>
      <c r="E1448" s="13"/>
      <c r="F1448" s="498">
        <f>F1449+F1450+F1451</f>
        <v>186</v>
      </c>
      <c r="G1448" s="65"/>
      <c r="H1448" s="65"/>
      <c r="I1448" s="43"/>
      <c r="J1448" s="52"/>
    </row>
    <row r="1449" spans="1:10" s="58" customFormat="1" ht="18" hidden="1" customHeight="1" x14ac:dyDescent="0.25">
      <c r="A1449" s="53">
        <v>1</v>
      </c>
      <c r="B1449" s="575" t="s">
        <v>266</v>
      </c>
      <c r="C1449" s="53">
        <v>1</v>
      </c>
      <c r="D1449" s="87" t="s">
        <v>202</v>
      </c>
      <c r="E1449" s="13"/>
      <c r="F1449" s="55">
        <v>96</v>
      </c>
      <c r="G1449" s="65"/>
      <c r="H1449" s="65"/>
      <c r="I1449" s="43"/>
      <c r="J1449" s="52"/>
    </row>
    <row r="1450" spans="1:10" s="58" customFormat="1" ht="30" hidden="1" x14ac:dyDescent="0.25">
      <c r="A1450" s="53">
        <v>1</v>
      </c>
      <c r="B1450" s="575" t="s">
        <v>266</v>
      </c>
      <c r="C1450" s="53">
        <v>1</v>
      </c>
      <c r="D1450" s="87" t="s">
        <v>205</v>
      </c>
      <c r="E1450" s="13"/>
      <c r="F1450" s="55">
        <v>80</v>
      </c>
      <c r="G1450" s="65"/>
      <c r="H1450" s="65"/>
      <c r="I1450" s="43"/>
      <c r="J1450" s="52"/>
    </row>
    <row r="1451" spans="1:10" s="58" customFormat="1" hidden="1" x14ac:dyDescent="0.25">
      <c r="A1451" s="53">
        <v>1</v>
      </c>
      <c r="B1451" s="575" t="s">
        <v>266</v>
      </c>
      <c r="C1451" s="53">
        <v>1</v>
      </c>
      <c r="D1451" s="88" t="s">
        <v>118</v>
      </c>
      <c r="E1451" s="13"/>
      <c r="F1451" s="55">
        <v>10</v>
      </c>
      <c r="G1451" s="65"/>
      <c r="H1451" s="65"/>
      <c r="I1451" s="43"/>
      <c r="J1451" s="52"/>
    </row>
    <row r="1452" spans="1:10" s="58" customFormat="1" hidden="1" x14ac:dyDescent="0.25">
      <c r="A1452" s="53">
        <v>1</v>
      </c>
      <c r="B1452" s="575" t="s">
        <v>266</v>
      </c>
      <c r="C1452" s="53">
        <v>1</v>
      </c>
      <c r="D1452" s="21" t="s">
        <v>198</v>
      </c>
      <c r="E1452" s="62"/>
      <c r="F1452" s="432">
        <f>F1429+F1408</f>
        <v>13424.5</v>
      </c>
      <c r="G1452" s="65"/>
      <c r="H1452" s="65"/>
      <c r="I1452" s="43"/>
      <c r="J1452" s="430"/>
    </row>
    <row r="1453" spans="1:10" s="58" customFormat="1" ht="29.25" hidden="1" x14ac:dyDescent="0.25">
      <c r="A1453" s="53">
        <v>1</v>
      </c>
      <c r="B1453" s="575" t="s">
        <v>266</v>
      </c>
      <c r="C1453" s="53">
        <v>1</v>
      </c>
      <c r="D1453" s="21" t="s">
        <v>199</v>
      </c>
      <c r="E1453" s="62"/>
      <c r="F1453" s="477">
        <f>F1418</f>
        <v>1707</v>
      </c>
      <c r="G1453" s="65"/>
      <c r="H1453" s="65"/>
      <c r="I1453" s="43"/>
      <c r="J1453" s="430"/>
    </row>
    <row r="1454" spans="1:10" hidden="1" x14ac:dyDescent="0.25">
      <c r="A1454" s="53">
        <v>1</v>
      </c>
      <c r="B1454" s="575" t="s">
        <v>266</v>
      </c>
      <c r="C1454" s="53">
        <v>1</v>
      </c>
      <c r="D1454" s="21" t="s">
        <v>200</v>
      </c>
      <c r="E1454" s="13"/>
      <c r="F1454" s="398">
        <f>F1441+F1416</f>
        <v>10514.574468085106</v>
      </c>
      <c r="G1454" s="2"/>
      <c r="H1454" s="2"/>
      <c r="I1454" s="2"/>
    </row>
    <row r="1455" spans="1:10" s="58" customFormat="1" ht="29.25" hidden="1" x14ac:dyDescent="0.25">
      <c r="A1455" s="53">
        <v>1</v>
      </c>
      <c r="B1455" s="575" t="s">
        <v>266</v>
      </c>
      <c r="C1455" s="53">
        <v>1</v>
      </c>
      <c r="D1455" s="21" t="s">
        <v>201</v>
      </c>
      <c r="E1455" s="13"/>
      <c r="F1455" s="398">
        <f>F1445</f>
        <v>384</v>
      </c>
      <c r="G1455" s="65"/>
      <c r="H1455" s="65"/>
      <c r="I1455" s="43"/>
      <c r="J1455" s="430"/>
    </row>
    <row r="1456" spans="1:10" s="58" customFormat="1" hidden="1" x14ac:dyDescent="0.25">
      <c r="A1456" s="53">
        <v>1</v>
      </c>
      <c r="B1456" s="575" t="s">
        <v>266</v>
      </c>
      <c r="C1456" s="53">
        <v>1</v>
      </c>
      <c r="D1456" s="22" t="s">
        <v>109</v>
      </c>
      <c r="E1456" s="13"/>
      <c r="F1456" s="398">
        <f>F1452+F1453+F1455+F1444/4.2+F1416*2.9</f>
        <v>41033.833333333328</v>
      </c>
      <c r="G1456" s="65"/>
      <c r="H1456" s="65"/>
      <c r="I1456" s="43"/>
      <c r="J1456" s="430"/>
    </row>
    <row r="1457" spans="1:9" hidden="1" x14ac:dyDescent="0.25">
      <c r="A1457" s="53">
        <v>1</v>
      </c>
      <c r="B1457" s="575" t="s">
        <v>266</v>
      </c>
      <c r="C1457" s="53">
        <v>1</v>
      </c>
      <c r="D1457" s="44" t="s">
        <v>7</v>
      </c>
      <c r="E1457" s="514"/>
      <c r="F1457" s="55"/>
      <c r="G1457" s="2"/>
      <c r="H1457" s="2"/>
      <c r="I1457" s="2"/>
    </row>
    <row r="1458" spans="1:9" hidden="1" x14ac:dyDescent="0.25">
      <c r="A1458" s="53">
        <v>1</v>
      </c>
      <c r="B1458" s="575" t="s">
        <v>266</v>
      </c>
      <c r="C1458" s="53">
        <v>1</v>
      </c>
      <c r="D1458" s="306" t="s">
        <v>71</v>
      </c>
      <c r="E1458" s="514"/>
      <c r="F1458" s="55"/>
      <c r="G1458" s="2"/>
      <c r="H1458" s="2"/>
      <c r="I1458" s="2"/>
    </row>
    <row r="1459" spans="1:9" hidden="1" x14ac:dyDescent="0.25">
      <c r="A1459" s="53">
        <v>1</v>
      </c>
      <c r="B1459" s="575" t="s">
        <v>266</v>
      </c>
      <c r="C1459" s="53">
        <v>1</v>
      </c>
      <c r="D1459" s="439" t="s">
        <v>19</v>
      </c>
      <c r="E1459" s="54">
        <v>240</v>
      </c>
      <c r="F1459" s="55">
        <v>224</v>
      </c>
      <c r="G1459" s="47">
        <v>8</v>
      </c>
      <c r="H1459" s="2">
        <f>ROUND(I1459/E1459,0)</f>
        <v>7</v>
      </c>
      <c r="I1459" s="2">
        <f>ROUND(F1459*G1459,0)</f>
        <v>1792</v>
      </c>
    </row>
    <row r="1460" spans="1:9" hidden="1" x14ac:dyDescent="0.25">
      <c r="A1460" s="53">
        <v>1</v>
      </c>
      <c r="B1460" s="575" t="s">
        <v>266</v>
      </c>
      <c r="C1460" s="53">
        <v>1</v>
      </c>
      <c r="D1460" s="497" t="s">
        <v>92</v>
      </c>
      <c r="E1460" s="54"/>
      <c r="F1460" s="459">
        <f>SUM(F1459)</f>
        <v>224</v>
      </c>
      <c r="G1460" s="143">
        <f>I1460/F1460</f>
        <v>8</v>
      </c>
      <c r="H1460" s="31">
        <f>H1459</f>
        <v>7</v>
      </c>
      <c r="I1460" s="31">
        <f>I1459</f>
        <v>1792</v>
      </c>
    </row>
    <row r="1461" spans="1:9" hidden="1" x14ac:dyDescent="0.25">
      <c r="A1461" s="53">
        <v>1</v>
      </c>
      <c r="B1461" s="575" t="s">
        <v>266</v>
      </c>
      <c r="C1461" s="53">
        <v>1</v>
      </c>
      <c r="D1461" s="500" t="s">
        <v>86</v>
      </c>
      <c r="E1461" s="54"/>
      <c r="F1461" s="446">
        <f>F1460</f>
        <v>224</v>
      </c>
      <c r="G1461" s="82">
        <f>G1460</f>
        <v>8</v>
      </c>
      <c r="H1461" s="302">
        <f t="shared" ref="H1461:I1461" si="15">H1460</f>
        <v>7</v>
      </c>
      <c r="I1461" s="302">
        <f t="shared" si="15"/>
        <v>1792</v>
      </c>
    </row>
    <row r="1462" spans="1:9" ht="15.75" hidden="1" thickBot="1" x14ac:dyDescent="0.3">
      <c r="A1462" s="53">
        <v>1</v>
      </c>
      <c r="B1462" s="575" t="s">
        <v>266</v>
      </c>
      <c r="C1462" s="53">
        <v>1</v>
      </c>
      <c r="D1462" s="448" t="s">
        <v>220</v>
      </c>
      <c r="E1462" s="520"/>
      <c r="F1462" s="528"/>
      <c r="G1462" s="449"/>
      <c r="H1462" s="449"/>
      <c r="I1462" s="449"/>
    </row>
    <row r="1463" spans="1:9" ht="47.25" hidden="1" customHeight="1" x14ac:dyDescent="0.25">
      <c r="A1463" s="53">
        <v>1</v>
      </c>
      <c r="B1463" s="575" t="s">
        <v>267</v>
      </c>
      <c r="C1463" s="53">
        <v>1</v>
      </c>
      <c r="D1463" s="70" t="s">
        <v>426</v>
      </c>
      <c r="E1463" s="578"/>
      <c r="F1463" s="579"/>
      <c r="G1463" s="578"/>
      <c r="H1463" s="578"/>
      <c r="I1463" s="578"/>
    </row>
    <row r="1464" spans="1:9" hidden="1" x14ac:dyDescent="0.25">
      <c r="A1464" s="53">
        <v>1</v>
      </c>
      <c r="B1464" s="575" t="s">
        <v>267</v>
      </c>
      <c r="C1464" s="53">
        <v>1</v>
      </c>
      <c r="D1464" s="395" t="s">
        <v>4</v>
      </c>
      <c r="E1464" s="454"/>
      <c r="F1464" s="580"/>
      <c r="G1464" s="454"/>
      <c r="H1464" s="454"/>
      <c r="I1464" s="454"/>
    </row>
    <row r="1465" spans="1:9" hidden="1" x14ac:dyDescent="0.25">
      <c r="A1465" s="53">
        <v>1</v>
      </c>
      <c r="B1465" s="575" t="s">
        <v>267</v>
      </c>
      <c r="C1465" s="53">
        <v>1</v>
      </c>
      <c r="D1465" s="114" t="s">
        <v>90</v>
      </c>
      <c r="E1465" s="531">
        <v>320</v>
      </c>
      <c r="F1465" s="435">
        <v>2950</v>
      </c>
      <c r="G1465" s="325">
        <v>13</v>
      </c>
      <c r="H1465" s="115">
        <f>ROUND(I1465/E1465,0)</f>
        <v>120</v>
      </c>
      <c r="I1465" s="2">
        <f>ROUND(F1465*G1465,0)</f>
        <v>38350</v>
      </c>
    </row>
    <row r="1466" spans="1:9" hidden="1" x14ac:dyDescent="0.25">
      <c r="A1466" s="53">
        <v>1</v>
      </c>
      <c r="B1466" s="575" t="s">
        <v>267</v>
      </c>
      <c r="C1466" s="53">
        <v>1</v>
      </c>
      <c r="D1466" s="534" t="s">
        <v>5</v>
      </c>
      <c r="E1466" s="581">
        <v>320</v>
      </c>
      <c r="F1466" s="571">
        <f>SUM(F1465)</f>
        <v>2950</v>
      </c>
      <c r="G1466" s="328">
        <f>G1465</f>
        <v>13</v>
      </c>
      <c r="H1466" s="68">
        <f>H1465</f>
        <v>120</v>
      </c>
      <c r="I1466" s="68">
        <f>I1465</f>
        <v>38350</v>
      </c>
    </row>
    <row r="1467" spans="1:9" ht="15.75" hidden="1" x14ac:dyDescent="0.25">
      <c r="A1467" s="53"/>
      <c r="B1467" s="575" t="s">
        <v>267</v>
      </c>
      <c r="C1467" s="53">
        <v>1</v>
      </c>
      <c r="D1467" s="538"/>
      <c r="E1467" s="18"/>
      <c r="F1467" s="539"/>
      <c r="G1467" s="18"/>
      <c r="H1467" s="18"/>
      <c r="I1467" s="29"/>
    </row>
    <row r="1468" spans="1:9" hidden="1" x14ac:dyDescent="0.25">
      <c r="A1468" s="53">
        <v>1</v>
      </c>
      <c r="B1468" s="575" t="s">
        <v>267</v>
      </c>
      <c r="C1468" s="53">
        <v>1</v>
      </c>
      <c r="D1468" s="44" t="s">
        <v>91</v>
      </c>
      <c r="E1468" s="18"/>
      <c r="F1468" s="540"/>
      <c r="G1468" s="18"/>
      <c r="H1468" s="324"/>
      <c r="I1468" s="29"/>
    </row>
    <row r="1469" spans="1:9" hidden="1" x14ac:dyDescent="0.25">
      <c r="A1469" s="53">
        <v>1</v>
      </c>
      <c r="B1469" s="575" t="s">
        <v>267</v>
      </c>
      <c r="C1469" s="53">
        <v>1</v>
      </c>
      <c r="D1469" s="439" t="s">
        <v>90</v>
      </c>
      <c r="E1469" s="18">
        <v>300</v>
      </c>
      <c r="F1469" s="55">
        <v>523</v>
      </c>
      <c r="G1469" s="325">
        <v>10</v>
      </c>
      <c r="H1469" s="2">
        <f>ROUND(I1469/E1469,0)</f>
        <v>17</v>
      </c>
      <c r="I1469" s="2">
        <f>ROUND(F1469*G1469,0)</f>
        <v>5230</v>
      </c>
    </row>
    <row r="1470" spans="1:9" hidden="1" x14ac:dyDescent="0.25">
      <c r="A1470" s="53">
        <v>1</v>
      </c>
      <c r="B1470" s="575" t="s">
        <v>267</v>
      </c>
      <c r="C1470" s="53">
        <v>1</v>
      </c>
      <c r="D1470" s="438" t="s">
        <v>9</v>
      </c>
      <c r="E1470" s="18">
        <v>300</v>
      </c>
      <c r="F1470" s="55">
        <f>SUM(F1469)</f>
        <v>523</v>
      </c>
      <c r="G1470" s="325">
        <v>10</v>
      </c>
      <c r="H1470" s="2">
        <f>H1469</f>
        <v>17</v>
      </c>
      <c r="I1470" s="2">
        <f>I1469</f>
        <v>5230</v>
      </c>
    </row>
    <row r="1471" spans="1:9" hidden="1" x14ac:dyDescent="0.25">
      <c r="A1471" s="53">
        <v>1</v>
      </c>
      <c r="B1471" s="575" t="s">
        <v>267</v>
      </c>
      <c r="C1471" s="53">
        <v>1</v>
      </c>
      <c r="D1471" s="500" t="s">
        <v>86</v>
      </c>
      <c r="E1471" s="18"/>
      <c r="F1471" s="398">
        <f>F1470</f>
        <v>523</v>
      </c>
      <c r="G1471" s="143">
        <f>I1471/F1471</f>
        <v>10</v>
      </c>
      <c r="H1471" s="29">
        <f>H1470</f>
        <v>17</v>
      </c>
      <c r="I1471" s="29">
        <f>I1470</f>
        <v>5230</v>
      </c>
    </row>
    <row r="1472" spans="1:9" ht="15.75" hidden="1" thickBot="1" x14ac:dyDescent="0.3">
      <c r="A1472" s="53">
        <v>1</v>
      </c>
      <c r="B1472" s="575" t="s">
        <v>267</v>
      </c>
      <c r="C1472" s="53">
        <v>1</v>
      </c>
      <c r="D1472" s="448" t="s">
        <v>220</v>
      </c>
      <c r="E1472" s="520"/>
      <c r="F1472" s="582"/>
      <c r="G1472" s="520"/>
      <c r="H1472" s="520"/>
      <c r="I1472" s="520"/>
    </row>
    <row r="1473" spans="1:9" x14ac:dyDescent="0.25">
      <c r="A1473" s="53"/>
      <c r="B1473" s="583"/>
      <c r="C1473" s="53">
        <v>1</v>
      </c>
      <c r="D1473" s="584"/>
      <c r="E1473" s="585"/>
      <c r="F1473" s="586"/>
      <c r="G1473" s="53"/>
      <c r="H1473" s="53"/>
      <c r="I1473" s="53"/>
    </row>
  </sheetData>
  <autoFilter ref="A8:J1473"/>
  <sortState ref="D554:I574">
    <sortCondition ref="D554:D574"/>
  </sortState>
  <mergeCells count="10">
    <mergeCell ref="D1171:D1172"/>
    <mergeCell ref="D1401:D1402"/>
    <mergeCell ref="H1:I1"/>
    <mergeCell ref="G2:I2"/>
    <mergeCell ref="D3:I4"/>
    <mergeCell ref="E5:E7"/>
    <mergeCell ref="G5:G7"/>
    <mergeCell ref="H5:H7"/>
    <mergeCell ref="F5:F7"/>
    <mergeCell ref="I5:I7"/>
  </mergeCells>
  <pageMargins left="0.6692913385826772" right="0" top="0.74803149606299213" bottom="0.19685039370078741" header="0" footer="0"/>
  <pageSetup paperSize="9" scale="70" orientation="portrait" horizontalDpi="4294967293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BP1357"/>
  <sheetViews>
    <sheetView tabSelected="1" topLeftCell="B1" zoomScale="90" zoomScaleNormal="90" zoomScaleSheetLayoutView="100" workbookViewId="0">
      <pane xSplit="3" ySplit="7" topLeftCell="E94" activePane="bottomRight" state="frozen"/>
      <selection activeCell="A751" sqref="A751:XFD904"/>
      <selection pane="topRight" activeCell="A751" sqref="A751:XFD904"/>
      <selection pane="bottomLeft" activeCell="A751" sqref="A751:XFD904"/>
      <selection pane="bottomRight" activeCell="F580" sqref="F580"/>
    </sheetView>
  </sheetViews>
  <sheetFormatPr defaultColWidth="15.7109375" defaultRowHeight="15" x14ac:dyDescent="0.25"/>
  <cols>
    <col min="1" max="1" width="3.85546875" style="104" hidden="1" customWidth="1"/>
    <col min="2" max="3" width="8.42578125" style="104" hidden="1" customWidth="1"/>
    <col min="4" max="4" width="47.85546875" style="104" customWidth="1"/>
    <col min="5" max="5" width="10.7109375" style="104" customWidth="1"/>
    <col min="6" max="6" width="14.28515625" style="104" customWidth="1"/>
    <col min="7" max="7" width="13.7109375" style="104" customWidth="1"/>
    <col min="8" max="8" width="12.42578125" style="104" customWidth="1"/>
    <col min="9" max="9" width="13.7109375" style="104" customWidth="1"/>
    <col min="10" max="10" width="42.140625" style="104" customWidth="1"/>
    <col min="11" max="16384" width="15.7109375" style="104"/>
  </cols>
  <sheetData>
    <row r="1" spans="1:9" ht="9.75" customHeight="1" x14ac:dyDescent="0.25">
      <c r="H1" s="587"/>
    </row>
    <row r="2" spans="1:9" s="3" customFormat="1" ht="15" customHeight="1" x14ac:dyDescent="0.25">
      <c r="D2" s="692" t="s">
        <v>352</v>
      </c>
      <c r="E2" s="692"/>
      <c r="F2" s="692"/>
      <c r="G2" s="692"/>
      <c r="H2" s="692"/>
      <c r="I2" s="692"/>
    </row>
    <row r="3" spans="1:9" ht="21.6" customHeight="1" thickBot="1" x14ac:dyDescent="0.3">
      <c r="D3" s="711"/>
      <c r="E3" s="711"/>
      <c r="F3" s="711"/>
      <c r="G3" s="711"/>
      <c r="H3" s="711"/>
      <c r="I3" s="711"/>
    </row>
    <row r="4" spans="1:9" ht="33.75" customHeight="1" x14ac:dyDescent="0.3">
      <c r="D4" s="4" t="s">
        <v>106</v>
      </c>
      <c r="E4" s="697" t="s">
        <v>1</v>
      </c>
      <c r="F4" s="714" t="s">
        <v>144</v>
      </c>
      <c r="G4" s="703" t="s">
        <v>0</v>
      </c>
      <c r="H4" s="697" t="s">
        <v>2</v>
      </c>
      <c r="I4" s="700" t="s">
        <v>112</v>
      </c>
    </row>
    <row r="5" spans="1:9" ht="19.5" customHeight="1" x14ac:dyDescent="0.3">
      <c r="D5" s="5"/>
      <c r="E5" s="698"/>
      <c r="F5" s="715"/>
      <c r="G5" s="704"/>
      <c r="H5" s="698"/>
      <c r="I5" s="701"/>
    </row>
    <row r="6" spans="1:9" ht="44.25" customHeight="1" thickBot="1" x14ac:dyDescent="0.3">
      <c r="D6" s="6" t="s">
        <v>3</v>
      </c>
      <c r="E6" s="699"/>
      <c r="F6" s="716"/>
      <c r="G6" s="705"/>
      <c r="H6" s="699"/>
      <c r="I6" s="702"/>
    </row>
    <row r="7" spans="1:9" ht="15.75" thickBot="1" x14ac:dyDescent="0.3">
      <c r="D7" s="7">
        <v>1</v>
      </c>
      <c r="E7" s="8">
        <v>2</v>
      </c>
      <c r="F7" s="8">
        <v>3</v>
      </c>
      <c r="G7" s="108">
        <v>4</v>
      </c>
      <c r="H7" s="108">
        <v>5</v>
      </c>
      <c r="I7" s="108">
        <v>6</v>
      </c>
    </row>
    <row r="8" spans="1:9" ht="32.25" customHeight="1" x14ac:dyDescent="0.25">
      <c r="A8" s="109" t="s">
        <v>268</v>
      </c>
      <c r="B8" s="109" t="s">
        <v>268</v>
      </c>
      <c r="C8" s="489" t="s">
        <v>363</v>
      </c>
      <c r="D8" s="678" t="s">
        <v>404</v>
      </c>
      <c r="E8" s="224"/>
      <c r="F8" s="224"/>
      <c r="G8" s="393"/>
      <c r="H8" s="393"/>
      <c r="I8" s="393"/>
    </row>
    <row r="9" spans="1:9" x14ac:dyDescent="0.25">
      <c r="A9" s="109" t="s">
        <v>268</v>
      </c>
      <c r="B9" s="109" t="s">
        <v>268</v>
      </c>
      <c r="C9" s="489" t="s">
        <v>363</v>
      </c>
      <c r="D9" s="112" t="s">
        <v>4</v>
      </c>
      <c r="E9" s="113"/>
      <c r="F9" s="224"/>
      <c r="G9" s="2"/>
      <c r="H9" s="2"/>
      <c r="I9" s="2"/>
    </row>
    <row r="10" spans="1:9" x14ac:dyDescent="0.25">
      <c r="A10" s="109" t="s">
        <v>268</v>
      </c>
      <c r="B10" s="109" t="s">
        <v>268</v>
      </c>
      <c r="C10" s="489" t="s">
        <v>363</v>
      </c>
      <c r="D10" s="117" t="s">
        <v>32</v>
      </c>
      <c r="E10" s="354">
        <v>340</v>
      </c>
      <c r="F10" s="2">
        <v>255</v>
      </c>
      <c r="G10" s="355">
        <v>11.8</v>
      </c>
      <c r="H10" s="2">
        <f>ROUND(I10/E10,0)</f>
        <v>9</v>
      </c>
      <c r="I10" s="2">
        <f t="shared" ref="I10:I21" si="0">ROUND(F10*G10,0)</f>
        <v>3009</v>
      </c>
    </row>
    <row r="11" spans="1:9" x14ac:dyDescent="0.25">
      <c r="A11" s="109" t="s">
        <v>268</v>
      </c>
      <c r="B11" s="109" t="s">
        <v>268</v>
      </c>
      <c r="C11" s="489" t="s">
        <v>363</v>
      </c>
      <c r="D11" s="117" t="s">
        <v>25</v>
      </c>
      <c r="E11" s="354">
        <v>310</v>
      </c>
      <c r="F11" s="2">
        <v>4330</v>
      </c>
      <c r="G11" s="355">
        <v>10</v>
      </c>
      <c r="H11" s="2">
        <f>ROUND(I11/E11,0)</f>
        <v>140</v>
      </c>
      <c r="I11" s="2">
        <f t="shared" si="0"/>
        <v>43300</v>
      </c>
    </row>
    <row r="12" spans="1:9" x14ac:dyDescent="0.25">
      <c r="A12" s="109" t="s">
        <v>268</v>
      </c>
      <c r="B12" s="109" t="s">
        <v>268</v>
      </c>
      <c r="C12" s="489" t="s">
        <v>363</v>
      </c>
      <c r="D12" s="117" t="s">
        <v>34</v>
      </c>
      <c r="E12" s="354">
        <v>340</v>
      </c>
      <c r="F12" s="2">
        <f>1346+38+15</f>
        <v>1399</v>
      </c>
      <c r="G12" s="355">
        <v>10.5</v>
      </c>
      <c r="H12" s="2">
        <f t="shared" ref="H12:H21" si="1">ROUND(I12/E12,0)</f>
        <v>43</v>
      </c>
      <c r="I12" s="2">
        <f t="shared" si="0"/>
        <v>14690</v>
      </c>
    </row>
    <row r="13" spans="1:9" x14ac:dyDescent="0.25">
      <c r="A13" s="109" t="s">
        <v>268</v>
      </c>
      <c r="B13" s="109" t="s">
        <v>268</v>
      </c>
      <c r="C13" s="489" t="s">
        <v>363</v>
      </c>
      <c r="D13" s="117" t="s">
        <v>37</v>
      </c>
      <c r="E13" s="354">
        <v>340</v>
      </c>
      <c r="F13" s="2">
        <v>1265</v>
      </c>
      <c r="G13" s="355">
        <v>10</v>
      </c>
      <c r="H13" s="2">
        <f t="shared" si="1"/>
        <v>37</v>
      </c>
      <c r="I13" s="2">
        <f t="shared" si="0"/>
        <v>12650</v>
      </c>
    </row>
    <row r="14" spans="1:9" x14ac:dyDescent="0.25">
      <c r="A14" s="109" t="s">
        <v>268</v>
      </c>
      <c r="B14" s="109" t="s">
        <v>268</v>
      </c>
      <c r="C14" s="489" t="s">
        <v>363</v>
      </c>
      <c r="D14" s="117" t="s">
        <v>64</v>
      </c>
      <c r="E14" s="354">
        <v>340</v>
      </c>
      <c r="F14" s="2">
        <v>90</v>
      </c>
      <c r="G14" s="355">
        <v>20.100000000000001</v>
      </c>
      <c r="H14" s="2">
        <f t="shared" si="1"/>
        <v>5</v>
      </c>
      <c r="I14" s="2">
        <f t="shared" si="0"/>
        <v>1809</v>
      </c>
    </row>
    <row r="15" spans="1:9" x14ac:dyDescent="0.25">
      <c r="A15" s="109" t="s">
        <v>268</v>
      </c>
      <c r="B15" s="109" t="s">
        <v>268</v>
      </c>
      <c r="C15" s="489" t="s">
        <v>363</v>
      </c>
      <c r="D15" s="117" t="s">
        <v>38</v>
      </c>
      <c r="E15" s="354">
        <v>340</v>
      </c>
      <c r="F15" s="2">
        <v>85</v>
      </c>
      <c r="G15" s="355">
        <v>12.1</v>
      </c>
      <c r="H15" s="2">
        <f t="shared" si="1"/>
        <v>3</v>
      </c>
      <c r="I15" s="2">
        <f t="shared" si="0"/>
        <v>1029</v>
      </c>
    </row>
    <row r="16" spans="1:9" x14ac:dyDescent="0.25">
      <c r="A16" s="109" t="s">
        <v>268</v>
      </c>
      <c r="B16" s="109" t="s">
        <v>268</v>
      </c>
      <c r="C16" s="489" t="s">
        <v>363</v>
      </c>
      <c r="D16" s="117" t="s">
        <v>40</v>
      </c>
      <c r="E16" s="354">
        <v>320</v>
      </c>
      <c r="F16" s="2">
        <v>345</v>
      </c>
      <c r="G16" s="355">
        <v>10</v>
      </c>
      <c r="H16" s="2">
        <f t="shared" si="1"/>
        <v>11</v>
      </c>
      <c r="I16" s="2">
        <f t="shared" si="0"/>
        <v>3450</v>
      </c>
    </row>
    <row r="17" spans="1:10" x14ac:dyDescent="0.25">
      <c r="A17" s="109" t="s">
        <v>268</v>
      </c>
      <c r="B17" s="109" t="s">
        <v>268</v>
      </c>
      <c r="C17" s="489" t="s">
        <v>363</v>
      </c>
      <c r="D17" s="117" t="s">
        <v>36</v>
      </c>
      <c r="E17" s="354">
        <v>340</v>
      </c>
      <c r="F17" s="2">
        <v>846</v>
      </c>
      <c r="G17" s="355">
        <v>12.5</v>
      </c>
      <c r="H17" s="2">
        <f t="shared" si="1"/>
        <v>31</v>
      </c>
      <c r="I17" s="2">
        <f t="shared" si="0"/>
        <v>10575</v>
      </c>
    </row>
    <row r="18" spans="1:10" x14ac:dyDescent="0.25">
      <c r="A18" s="109" t="s">
        <v>268</v>
      </c>
      <c r="B18" s="109" t="s">
        <v>268</v>
      </c>
      <c r="C18" s="489" t="s">
        <v>363</v>
      </c>
      <c r="D18" s="117" t="s">
        <v>35</v>
      </c>
      <c r="E18" s="354">
        <v>340</v>
      </c>
      <c r="F18" s="2">
        <v>229</v>
      </c>
      <c r="G18" s="355">
        <v>11</v>
      </c>
      <c r="H18" s="2">
        <f t="shared" si="1"/>
        <v>7</v>
      </c>
      <c r="I18" s="2">
        <f t="shared" si="0"/>
        <v>2519</v>
      </c>
    </row>
    <row r="19" spans="1:10" x14ac:dyDescent="0.25">
      <c r="A19" s="109" t="s">
        <v>268</v>
      </c>
      <c r="B19" s="109" t="s">
        <v>268</v>
      </c>
      <c r="C19" s="489" t="s">
        <v>363</v>
      </c>
      <c r="D19" s="117" t="s">
        <v>56</v>
      </c>
      <c r="E19" s="354">
        <v>340</v>
      </c>
      <c r="F19" s="2">
        <v>415</v>
      </c>
      <c r="G19" s="355">
        <v>12.4</v>
      </c>
      <c r="H19" s="2">
        <f t="shared" si="1"/>
        <v>15</v>
      </c>
      <c r="I19" s="2">
        <f t="shared" si="0"/>
        <v>5146</v>
      </c>
    </row>
    <row r="20" spans="1:10" x14ac:dyDescent="0.25">
      <c r="A20" s="109" t="s">
        <v>268</v>
      </c>
      <c r="B20" s="109" t="s">
        <v>268</v>
      </c>
      <c r="C20" s="489" t="s">
        <v>363</v>
      </c>
      <c r="D20" s="117" t="s">
        <v>39</v>
      </c>
      <c r="E20" s="354">
        <v>340</v>
      </c>
      <c r="F20" s="2">
        <v>1200</v>
      </c>
      <c r="G20" s="355">
        <v>9.5</v>
      </c>
      <c r="H20" s="2">
        <f t="shared" si="1"/>
        <v>34</v>
      </c>
      <c r="I20" s="2">
        <f t="shared" si="0"/>
        <v>11400</v>
      </c>
    </row>
    <row r="21" spans="1:10" x14ac:dyDescent="0.25">
      <c r="A21" s="109" t="s">
        <v>268</v>
      </c>
      <c r="B21" s="109" t="s">
        <v>268</v>
      </c>
      <c r="C21" s="489" t="s">
        <v>363</v>
      </c>
      <c r="D21" s="117" t="s">
        <v>69</v>
      </c>
      <c r="E21" s="354">
        <v>340</v>
      </c>
      <c r="F21" s="2">
        <f>1089</f>
        <v>1089</v>
      </c>
      <c r="G21" s="588">
        <v>9</v>
      </c>
      <c r="H21" s="2">
        <f t="shared" si="1"/>
        <v>29</v>
      </c>
      <c r="I21" s="2">
        <f t="shared" si="0"/>
        <v>9801</v>
      </c>
    </row>
    <row r="22" spans="1:10" s="124" customFormat="1" x14ac:dyDescent="0.25">
      <c r="A22" s="109" t="s">
        <v>268</v>
      </c>
      <c r="B22" s="109" t="s">
        <v>268</v>
      </c>
      <c r="C22" s="489" t="s">
        <v>363</v>
      </c>
      <c r="D22" s="589" t="s">
        <v>5</v>
      </c>
      <c r="E22" s="190"/>
      <c r="F22" s="29">
        <f>SUM(F10:F21)</f>
        <v>11548</v>
      </c>
      <c r="G22" s="143">
        <f>I22/F22</f>
        <v>10.33754762729477</v>
      </c>
      <c r="H22" s="29">
        <f>SUM(H10:H21)</f>
        <v>364</v>
      </c>
      <c r="I22" s="29">
        <f>SUM(I10:I21)</f>
        <v>119378</v>
      </c>
      <c r="J22" s="590"/>
    </row>
    <row r="23" spans="1:10" s="124" customFormat="1" x14ac:dyDescent="0.25">
      <c r="A23" s="109" t="s">
        <v>268</v>
      </c>
      <c r="B23" s="109" t="s">
        <v>268</v>
      </c>
      <c r="C23" s="489" t="s">
        <v>363</v>
      </c>
      <c r="D23" s="120" t="s">
        <v>213</v>
      </c>
      <c r="E23" s="115"/>
      <c r="F23" s="11">
        <f>110+38+15</f>
        <v>163</v>
      </c>
      <c r="G23" s="116"/>
      <c r="H23" s="2"/>
      <c r="I23" s="2"/>
    </row>
    <row r="24" spans="1:10" s="58" customFormat="1" ht="51.75" customHeight="1" x14ac:dyDescent="0.25">
      <c r="A24" s="109" t="s">
        <v>268</v>
      </c>
      <c r="B24" s="109" t="s">
        <v>268</v>
      </c>
      <c r="C24" s="489" t="s">
        <v>363</v>
      </c>
      <c r="D24" s="101" t="s">
        <v>294</v>
      </c>
      <c r="E24" s="12"/>
      <c r="F24" s="84"/>
      <c r="G24" s="57"/>
      <c r="H24" s="57"/>
      <c r="I24" s="57"/>
    </row>
    <row r="25" spans="1:10" s="58" customFormat="1" x14ac:dyDescent="0.25">
      <c r="A25" s="109" t="s">
        <v>268</v>
      </c>
      <c r="B25" s="109" t="s">
        <v>268</v>
      </c>
      <c r="C25" s="489" t="s">
        <v>363</v>
      </c>
      <c r="D25" s="14" t="s">
        <v>187</v>
      </c>
      <c r="E25" s="12"/>
      <c r="F25" s="84">
        <f>F26+F27+F28+F29+F30+F32</f>
        <v>54099</v>
      </c>
      <c r="G25" s="57"/>
      <c r="H25" s="57"/>
      <c r="I25" s="57"/>
    </row>
    <row r="26" spans="1:10" s="58" customFormat="1" x14ac:dyDescent="0.25">
      <c r="A26" s="109" t="s">
        <v>268</v>
      </c>
      <c r="B26" s="109" t="s">
        <v>268</v>
      </c>
      <c r="C26" s="489" t="s">
        <v>363</v>
      </c>
      <c r="D26" s="18" t="s">
        <v>113</v>
      </c>
      <c r="E26" s="12"/>
      <c r="F26" s="65">
        <v>12500</v>
      </c>
      <c r="G26" s="57"/>
      <c r="H26" s="57"/>
      <c r="I26" s="57"/>
    </row>
    <row r="27" spans="1:10" s="58" customFormat="1" ht="30" x14ac:dyDescent="0.25">
      <c r="A27" s="109" t="s">
        <v>268</v>
      </c>
      <c r="B27" s="109" t="s">
        <v>268</v>
      </c>
      <c r="C27" s="489" t="s">
        <v>363</v>
      </c>
      <c r="D27" s="18" t="s">
        <v>114</v>
      </c>
      <c r="E27" s="12"/>
      <c r="F27" s="65">
        <v>7900</v>
      </c>
      <c r="G27" s="57"/>
      <c r="H27" s="57"/>
      <c r="I27" s="57"/>
    </row>
    <row r="28" spans="1:10" s="58" customFormat="1" ht="30" x14ac:dyDescent="0.25">
      <c r="A28" s="109" t="s">
        <v>268</v>
      </c>
      <c r="B28" s="109" t="s">
        <v>268</v>
      </c>
      <c r="C28" s="489" t="s">
        <v>363</v>
      </c>
      <c r="D28" s="18" t="s">
        <v>361</v>
      </c>
      <c r="E28" s="12"/>
      <c r="F28" s="65">
        <v>9000</v>
      </c>
      <c r="G28" s="57"/>
      <c r="H28" s="57"/>
      <c r="I28" s="57"/>
    </row>
    <row r="29" spans="1:10" s="58" customFormat="1" ht="45" x14ac:dyDescent="0.25">
      <c r="A29" s="109" t="s">
        <v>268</v>
      </c>
      <c r="B29" s="109" t="s">
        <v>268</v>
      </c>
      <c r="C29" s="489" t="s">
        <v>363</v>
      </c>
      <c r="D29" s="15" t="s">
        <v>219</v>
      </c>
      <c r="E29" s="12"/>
      <c r="F29" s="65">
        <v>7500</v>
      </c>
      <c r="G29" s="57"/>
      <c r="H29" s="57"/>
      <c r="I29" s="57"/>
    </row>
    <row r="30" spans="1:10" s="58" customFormat="1" ht="45" x14ac:dyDescent="0.25">
      <c r="A30" s="109" t="s">
        <v>268</v>
      </c>
      <c r="B30" s="109" t="s">
        <v>268</v>
      </c>
      <c r="C30" s="489" t="s">
        <v>363</v>
      </c>
      <c r="D30" s="15" t="s">
        <v>188</v>
      </c>
      <c r="E30" s="12"/>
      <c r="F30" s="65">
        <v>12700</v>
      </c>
      <c r="G30" s="57"/>
      <c r="H30" s="57"/>
      <c r="I30" s="57"/>
    </row>
    <row r="31" spans="1:10" s="58" customFormat="1" ht="75" x14ac:dyDescent="0.25">
      <c r="A31" s="109"/>
      <c r="B31" s="109"/>
      <c r="C31" s="489" t="s">
        <v>363</v>
      </c>
      <c r="D31" s="15" t="s">
        <v>353</v>
      </c>
      <c r="E31" s="12"/>
      <c r="F31" s="65">
        <v>9000</v>
      </c>
      <c r="G31" s="57"/>
      <c r="H31" s="57"/>
      <c r="I31" s="57"/>
    </row>
    <row r="32" spans="1:10" s="58" customFormat="1" ht="30" x14ac:dyDescent="0.25">
      <c r="A32" s="109"/>
      <c r="B32" s="109"/>
      <c r="C32" s="489" t="s">
        <v>363</v>
      </c>
      <c r="D32" s="15" t="s">
        <v>293</v>
      </c>
      <c r="E32" s="12"/>
      <c r="F32" s="65">
        <v>4499</v>
      </c>
      <c r="G32" s="57"/>
      <c r="H32" s="57"/>
      <c r="I32" s="57"/>
    </row>
    <row r="33" spans="1:10" s="58" customFormat="1" x14ac:dyDescent="0.25">
      <c r="A33" s="109" t="s">
        <v>268</v>
      </c>
      <c r="B33" s="109" t="s">
        <v>268</v>
      </c>
      <c r="C33" s="489" t="s">
        <v>363</v>
      </c>
      <c r="D33" s="60" t="s">
        <v>88</v>
      </c>
      <c r="E33" s="12"/>
      <c r="F33" s="84">
        <v>37338</v>
      </c>
      <c r="G33" s="57"/>
      <c r="H33" s="57"/>
      <c r="I33" s="57"/>
    </row>
    <row r="34" spans="1:10" s="58" customFormat="1" x14ac:dyDescent="0.25">
      <c r="A34" s="109" t="s">
        <v>268</v>
      </c>
      <c r="B34" s="109" t="s">
        <v>268</v>
      </c>
      <c r="C34" s="489" t="s">
        <v>363</v>
      </c>
      <c r="D34" s="19" t="s">
        <v>145</v>
      </c>
      <c r="E34" s="12"/>
      <c r="F34" s="65">
        <v>37338</v>
      </c>
      <c r="G34" s="57"/>
      <c r="H34" s="57"/>
      <c r="I34" s="57"/>
    </row>
    <row r="35" spans="1:10" s="58" customFormat="1" ht="47.25" x14ac:dyDescent="0.25">
      <c r="A35" s="109" t="s">
        <v>268</v>
      </c>
      <c r="B35" s="109" t="s">
        <v>268</v>
      </c>
      <c r="C35" s="489" t="s">
        <v>363</v>
      </c>
      <c r="D35" s="61" t="s">
        <v>215</v>
      </c>
      <c r="E35" s="12"/>
      <c r="F35" s="84">
        <f>F36+F41</f>
        <v>34909</v>
      </c>
      <c r="G35" s="57"/>
      <c r="H35" s="57"/>
      <c r="I35" s="57"/>
    </row>
    <row r="36" spans="1:10" s="58" customFormat="1" ht="30" x14ac:dyDescent="0.25">
      <c r="A36" s="109" t="s">
        <v>268</v>
      </c>
      <c r="B36" s="109" t="s">
        <v>268</v>
      </c>
      <c r="C36" s="489" t="s">
        <v>363</v>
      </c>
      <c r="D36" s="16" t="s">
        <v>189</v>
      </c>
      <c r="E36" s="12"/>
      <c r="F36" s="84">
        <f>SUM(F37:F40)</f>
        <v>13971</v>
      </c>
      <c r="G36" s="57"/>
      <c r="H36" s="57"/>
      <c r="I36" s="57"/>
    </row>
    <row r="37" spans="1:10" s="58" customFormat="1" ht="30" x14ac:dyDescent="0.25">
      <c r="A37" s="109" t="s">
        <v>268</v>
      </c>
      <c r="B37" s="109" t="s">
        <v>268</v>
      </c>
      <c r="C37" s="489" t="s">
        <v>363</v>
      </c>
      <c r="D37" s="15" t="s">
        <v>190</v>
      </c>
      <c r="E37" s="12"/>
      <c r="F37" s="65">
        <v>13632</v>
      </c>
      <c r="G37" s="57"/>
      <c r="H37" s="57"/>
      <c r="I37" s="57"/>
    </row>
    <row r="38" spans="1:10" s="58" customFormat="1" ht="45" x14ac:dyDescent="0.25">
      <c r="A38" s="109" t="s">
        <v>268</v>
      </c>
      <c r="B38" s="109" t="s">
        <v>268</v>
      </c>
      <c r="C38" s="489" t="s">
        <v>363</v>
      </c>
      <c r="D38" s="15" t="s">
        <v>191</v>
      </c>
      <c r="E38" s="62"/>
      <c r="F38" s="57"/>
      <c r="G38" s="57"/>
      <c r="H38" s="57"/>
      <c r="I38" s="57"/>
    </row>
    <row r="39" spans="1:10" s="58" customFormat="1" ht="30" x14ac:dyDescent="0.25">
      <c r="A39" s="109" t="s">
        <v>268</v>
      </c>
      <c r="B39" s="109" t="s">
        <v>268</v>
      </c>
      <c r="C39" s="489" t="s">
        <v>363</v>
      </c>
      <c r="D39" s="15" t="s">
        <v>192</v>
      </c>
      <c r="E39" s="24"/>
      <c r="F39" s="2">
        <v>63</v>
      </c>
      <c r="G39" s="24"/>
      <c r="H39" s="24"/>
      <c r="I39" s="24"/>
    </row>
    <row r="40" spans="1:10" s="58" customFormat="1" ht="30" x14ac:dyDescent="0.25">
      <c r="A40" s="109" t="s">
        <v>268</v>
      </c>
      <c r="B40" s="109" t="s">
        <v>268</v>
      </c>
      <c r="C40" s="489" t="s">
        <v>363</v>
      </c>
      <c r="D40" s="15" t="s">
        <v>193</v>
      </c>
      <c r="E40" s="62"/>
      <c r="F40" s="57">
        <v>276</v>
      </c>
      <c r="G40" s="57"/>
      <c r="H40" s="57"/>
      <c r="I40" s="57"/>
    </row>
    <row r="41" spans="1:10" s="58" customFormat="1" ht="30" x14ac:dyDescent="0.25">
      <c r="A41" s="109" t="s">
        <v>268</v>
      </c>
      <c r="B41" s="109" t="s">
        <v>268</v>
      </c>
      <c r="C41" s="489" t="s">
        <v>363</v>
      </c>
      <c r="D41" s="16" t="s">
        <v>194</v>
      </c>
      <c r="E41" s="62"/>
      <c r="F41" s="2">
        <f>SUM(F42:F44)</f>
        <v>20938</v>
      </c>
      <c r="G41" s="57"/>
      <c r="H41" s="57"/>
      <c r="I41" s="57"/>
    </row>
    <row r="42" spans="1:10" s="58" customFormat="1" ht="30" x14ac:dyDescent="0.25">
      <c r="A42" s="109" t="s">
        <v>268</v>
      </c>
      <c r="B42" s="109" t="s">
        <v>268</v>
      </c>
      <c r="C42" s="489" t="s">
        <v>363</v>
      </c>
      <c r="D42" s="15" t="s">
        <v>195</v>
      </c>
      <c r="E42" s="62"/>
      <c r="F42" s="2">
        <v>4899</v>
      </c>
      <c r="G42" s="57"/>
      <c r="H42" s="57"/>
      <c r="I42" s="57"/>
    </row>
    <row r="43" spans="1:10" s="58" customFormat="1" ht="45" x14ac:dyDescent="0.25">
      <c r="A43" s="109" t="s">
        <v>268</v>
      </c>
      <c r="B43" s="109" t="s">
        <v>268</v>
      </c>
      <c r="C43" s="489" t="s">
        <v>363</v>
      </c>
      <c r="D43" s="15" t="s">
        <v>196</v>
      </c>
      <c r="E43" s="62"/>
      <c r="F43" s="2">
        <v>14200</v>
      </c>
      <c r="G43" s="57"/>
      <c r="H43" s="57"/>
      <c r="I43" s="57"/>
    </row>
    <row r="44" spans="1:10" s="58" customFormat="1" ht="45" x14ac:dyDescent="0.25">
      <c r="A44" s="109" t="s">
        <v>268</v>
      </c>
      <c r="B44" s="109" t="s">
        <v>268</v>
      </c>
      <c r="C44" s="489" t="s">
        <v>363</v>
      </c>
      <c r="D44" s="15" t="s">
        <v>197</v>
      </c>
      <c r="E44" s="62"/>
      <c r="F44" s="10">
        <v>1839</v>
      </c>
      <c r="G44" s="57"/>
      <c r="H44" s="57"/>
      <c r="I44" s="57"/>
    </row>
    <row r="45" spans="1:10" s="58" customFormat="1" ht="24.75" customHeight="1" x14ac:dyDescent="0.25">
      <c r="A45" s="109"/>
      <c r="B45" s="109"/>
      <c r="C45" s="489" t="s">
        <v>363</v>
      </c>
      <c r="D45" s="12" t="s">
        <v>96</v>
      </c>
      <c r="E45" s="62"/>
      <c r="F45" s="10"/>
      <c r="G45" s="78"/>
      <c r="H45" s="78"/>
      <c r="I45" s="78"/>
    </row>
    <row r="46" spans="1:10" s="124" customFormat="1" x14ac:dyDescent="0.25">
      <c r="A46" s="109" t="s">
        <v>268</v>
      </c>
      <c r="B46" s="109" t="s">
        <v>268</v>
      </c>
      <c r="C46" s="489" t="s">
        <v>363</v>
      </c>
      <c r="D46" s="14" t="s">
        <v>296</v>
      </c>
      <c r="E46" s="13"/>
      <c r="F46" s="2">
        <f>F48+F52+F53+F55</f>
        <v>2196</v>
      </c>
      <c r="G46" s="2"/>
      <c r="H46" s="2"/>
      <c r="I46" s="2"/>
      <c r="J46" s="58"/>
    </row>
    <row r="47" spans="1:10" s="124" customFormat="1" x14ac:dyDescent="0.25">
      <c r="A47" s="109" t="s">
        <v>268</v>
      </c>
      <c r="B47" s="109" t="s">
        <v>268</v>
      </c>
      <c r="C47" s="489" t="s">
        <v>363</v>
      </c>
      <c r="D47" s="15" t="s">
        <v>297</v>
      </c>
      <c r="E47" s="41"/>
      <c r="F47" s="2"/>
      <c r="G47" s="2"/>
      <c r="H47" s="2"/>
      <c r="I47" s="2"/>
      <c r="J47" s="58"/>
    </row>
    <row r="48" spans="1:10" s="124" customFormat="1" ht="30" x14ac:dyDescent="0.25">
      <c r="A48" s="109" t="s">
        <v>268</v>
      </c>
      <c r="B48" s="109" t="s">
        <v>268</v>
      </c>
      <c r="C48" s="489" t="s">
        <v>363</v>
      </c>
      <c r="D48" s="16" t="s">
        <v>298</v>
      </c>
      <c r="E48" s="41"/>
      <c r="F48" s="10">
        <f>F49</f>
        <v>100</v>
      </c>
      <c r="G48" s="2"/>
      <c r="H48" s="2"/>
      <c r="I48" s="2"/>
      <c r="J48" s="58"/>
    </row>
    <row r="49" spans="1:10" s="124" customFormat="1" x14ac:dyDescent="0.25">
      <c r="A49" s="109" t="s">
        <v>268</v>
      </c>
      <c r="B49" s="109" t="s">
        <v>268</v>
      </c>
      <c r="C49" s="489" t="s">
        <v>363</v>
      </c>
      <c r="D49" s="15" t="s">
        <v>299</v>
      </c>
      <c r="E49" s="13"/>
      <c r="F49" s="13">
        <v>100</v>
      </c>
      <c r="G49" s="10"/>
      <c r="H49" s="10"/>
      <c r="I49" s="10"/>
      <c r="J49" s="58"/>
    </row>
    <row r="50" spans="1:10" s="58" customFormat="1" ht="30" x14ac:dyDescent="0.25">
      <c r="A50" s="109" t="s">
        <v>268</v>
      </c>
      <c r="B50" s="109" t="s">
        <v>268</v>
      </c>
      <c r="C50" s="489" t="s">
        <v>363</v>
      </c>
      <c r="D50" s="15" t="s">
        <v>300</v>
      </c>
      <c r="E50" s="281"/>
      <c r="F50" s="2"/>
      <c r="G50" s="57"/>
      <c r="H50" s="57"/>
      <c r="I50" s="57"/>
    </row>
    <row r="51" spans="1:10" s="58" customFormat="1" ht="45" x14ac:dyDescent="0.25">
      <c r="A51" s="109" t="s">
        <v>268</v>
      </c>
      <c r="B51" s="109" t="s">
        <v>268</v>
      </c>
      <c r="C51" s="489" t="s">
        <v>363</v>
      </c>
      <c r="D51" s="15" t="s">
        <v>301</v>
      </c>
      <c r="E51" s="64"/>
      <c r="F51" s="62"/>
      <c r="G51" s="65"/>
      <c r="H51" s="65"/>
      <c r="I51" s="65"/>
    </row>
    <row r="52" spans="1:10" s="58" customFormat="1" ht="30" x14ac:dyDescent="0.25">
      <c r="A52" s="109" t="s">
        <v>268</v>
      </c>
      <c r="B52" s="109" t="s">
        <v>268</v>
      </c>
      <c r="C52" s="489" t="s">
        <v>363</v>
      </c>
      <c r="D52" s="15" t="s">
        <v>302</v>
      </c>
      <c r="E52" s="13"/>
      <c r="F52" s="2"/>
      <c r="G52" s="65"/>
      <c r="H52" s="65"/>
      <c r="I52" s="65"/>
    </row>
    <row r="53" spans="1:10" s="58" customFormat="1" ht="75" x14ac:dyDescent="0.25">
      <c r="A53" s="53"/>
      <c r="B53" s="109"/>
      <c r="C53" s="489" t="s">
        <v>363</v>
      </c>
      <c r="D53" s="18" t="s">
        <v>354</v>
      </c>
      <c r="E53" s="13"/>
      <c r="F53" s="55">
        <v>450</v>
      </c>
      <c r="G53" s="65"/>
      <c r="H53" s="65"/>
      <c r="I53" s="43"/>
      <c r="J53" s="52"/>
    </row>
    <row r="54" spans="1:10" s="58" customFormat="1" ht="90" x14ac:dyDescent="0.25">
      <c r="A54" s="53"/>
      <c r="B54" s="109"/>
      <c r="C54" s="489" t="s">
        <v>363</v>
      </c>
      <c r="D54" s="18" t="s">
        <v>351</v>
      </c>
      <c r="E54" s="13"/>
      <c r="F54" s="55"/>
      <c r="G54" s="59"/>
      <c r="H54" s="59"/>
      <c r="I54" s="81"/>
      <c r="J54" s="52"/>
    </row>
    <row r="55" spans="1:10" s="58" customFormat="1" ht="28.5" x14ac:dyDescent="0.25">
      <c r="A55" s="53"/>
      <c r="B55" s="109"/>
      <c r="C55" s="489" t="s">
        <v>363</v>
      </c>
      <c r="D55" s="66" t="s">
        <v>344</v>
      </c>
      <c r="E55" s="13"/>
      <c r="F55" s="55">
        <f>F56</f>
        <v>1646</v>
      </c>
      <c r="G55" s="59"/>
      <c r="H55" s="59"/>
      <c r="I55" s="81"/>
      <c r="J55" s="52"/>
    </row>
    <row r="56" spans="1:10" s="58" customFormat="1" x14ac:dyDescent="0.25">
      <c r="A56" s="53"/>
      <c r="B56" s="109"/>
      <c r="C56" s="489" t="s">
        <v>363</v>
      </c>
      <c r="D56" s="18" t="s">
        <v>345</v>
      </c>
      <c r="E56" s="13"/>
      <c r="F56" s="55">
        <v>1646</v>
      </c>
      <c r="G56" s="59"/>
      <c r="H56" s="59"/>
      <c r="I56" s="81"/>
      <c r="J56" s="52"/>
    </row>
    <row r="57" spans="1:10" s="58" customFormat="1" ht="28.5" x14ac:dyDescent="0.25">
      <c r="A57" s="53"/>
      <c r="B57" s="109"/>
      <c r="C57" s="489" t="s">
        <v>363</v>
      </c>
      <c r="D57" s="66" t="s">
        <v>346</v>
      </c>
      <c r="E57" s="13"/>
      <c r="F57" s="55"/>
      <c r="G57" s="59"/>
      <c r="H57" s="59"/>
      <c r="I57" s="81"/>
      <c r="J57" s="52"/>
    </row>
    <row r="58" spans="1:10" s="58" customFormat="1" x14ac:dyDescent="0.25">
      <c r="A58" s="109" t="s">
        <v>268</v>
      </c>
      <c r="B58" s="109" t="s">
        <v>268</v>
      </c>
      <c r="C58" s="489" t="s">
        <v>363</v>
      </c>
      <c r="D58" s="14" t="s">
        <v>303</v>
      </c>
      <c r="E58" s="13"/>
      <c r="F58" s="57">
        <f>F59+F60</f>
        <v>631.91489361702122</v>
      </c>
      <c r="G58" s="65"/>
      <c r="H58" s="65"/>
      <c r="I58" s="65"/>
    </row>
    <row r="59" spans="1:10" s="58" customFormat="1" x14ac:dyDescent="0.25">
      <c r="A59" s="109" t="s">
        <v>268</v>
      </c>
      <c r="B59" s="109" t="s">
        <v>268</v>
      </c>
      <c r="C59" s="489" t="s">
        <v>363</v>
      </c>
      <c r="D59" s="14" t="s">
        <v>304</v>
      </c>
      <c r="E59" s="13"/>
      <c r="F59" s="57">
        <v>100</v>
      </c>
      <c r="G59" s="65"/>
      <c r="H59" s="65"/>
      <c r="I59" s="65"/>
    </row>
    <row r="60" spans="1:10" s="58" customFormat="1" x14ac:dyDescent="0.25">
      <c r="A60" s="109" t="s">
        <v>268</v>
      </c>
      <c r="B60" s="109" t="s">
        <v>268</v>
      </c>
      <c r="C60" s="489" t="s">
        <v>363</v>
      </c>
      <c r="D60" s="15" t="s">
        <v>305</v>
      </c>
      <c r="E60" s="13"/>
      <c r="F60" s="57">
        <f>F61/9.4</f>
        <v>531.91489361702122</v>
      </c>
      <c r="G60" s="65"/>
      <c r="H60" s="65"/>
      <c r="I60" s="65"/>
    </row>
    <row r="61" spans="1:10" s="58" customFormat="1" x14ac:dyDescent="0.25">
      <c r="A61" s="109" t="s">
        <v>268</v>
      </c>
      <c r="B61" s="109" t="s">
        <v>268</v>
      </c>
      <c r="C61" s="489" t="s">
        <v>363</v>
      </c>
      <c r="D61" s="42" t="s">
        <v>314</v>
      </c>
      <c r="E61" s="13"/>
      <c r="F61" s="57">
        <v>5000</v>
      </c>
      <c r="G61" s="65"/>
      <c r="H61" s="65"/>
      <c r="I61" s="65"/>
    </row>
    <row r="62" spans="1:10" s="58" customFormat="1" ht="29.25" x14ac:dyDescent="0.25">
      <c r="A62" s="109" t="s">
        <v>268</v>
      </c>
      <c r="B62" s="109" t="s">
        <v>268</v>
      </c>
      <c r="C62" s="489" t="s">
        <v>363</v>
      </c>
      <c r="D62" s="14" t="s">
        <v>306</v>
      </c>
      <c r="E62" s="13"/>
      <c r="F62" s="57">
        <v>22486</v>
      </c>
      <c r="G62" s="65"/>
      <c r="H62" s="65"/>
      <c r="I62" s="65"/>
    </row>
    <row r="63" spans="1:10" s="58" customFormat="1" x14ac:dyDescent="0.25">
      <c r="A63" s="109" t="s">
        <v>268</v>
      </c>
      <c r="B63" s="109" t="s">
        <v>268</v>
      </c>
      <c r="C63" s="489" t="s">
        <v>363</v>
      </c>
      <c r="D63" s="19" t="s">
        <v>115</v>
      </c>
      <c r="E63" s="13"/>
      <c r="F63" s="78"/>
      <c r="G63" s="65"/>
      <c r="H63" s="65"/>
      <c r="I63" s="65"/>
    </row>
    <row r="64" spans="1:10" s="58" customFormat="1" ht="57.75" x14ac:dyDescent="0.25">
      <c r="A64" s="109" t="s">
        <v>268</v>
      </c>
      <c r="B64" s="109" t="s">
        <v>268</v>
      </c>
      <c r="C64" s="489" t="s">
        <v>363</v>
      </c>
      <c r="D64" s="14" t="s">
        <v>307</v>
      </c>
      <c r="E64" s="13"/>
      <c r="F64" s="2">
        <v>4000</v>
      </c>
      <c r="G64" s="65"/>
      <c r="H64" s="65"/>
      <c r="I64" s="65"/>
    </row>
    <row r="65" spans="1:9" s="58" customFormat="1" x14ac:dyDescent="0.25">
      <c r="A65" s="109" t="s">
        <v>268</v>
      </c>
      <c r="B65" s="109" t="s">
        <v>268</v>
      </c>
      <c r="C65" s="489" t="s">
        <v>363</v>
      </c>
      <c r="D65" s="20" t="s">
        <v>158</v>
      </c>
      <c r="E65" s="13"/>
      <c r="F65" s="29">
        <f>SUM(F66:F71)</f>
        <v>4620</v>
      </c>
      <c r="G65" s="65"/>
      <c r="H65" s="65"/>
      <c r="I65" s="65"/>
    </row>
    <row r="66" spans="1:9" s="58" customFormat="1" ht="30" x14ac:dyDescent="0.25">
      <c r="A66" s="109"/>
      <c r="B66" s="109"/>
      <c r="C66" s="489" t="s">
        <v>363</v>
      </c>
      <c r="D66" s="126" t="s">
        <v>348</v>
      </c>
      <c r="E66" s="13"/>
      <c r="F66" s="2">
        <v>783</v>
      </c>
      <c r="G66" s="65"/>
      <c r="H66" s="65"/>
      <c r="I66" s="65"/>
    </row>
    <row r="67" spans="1:9" s="58" customFormat="1" x14ac:dyDescent="0.25">
      <c r="A67" s="109" t="s">
        <v>268</v>
      </c>
      <c r="B67" s="109" t="s">
        <v>268</v>
      </c>
      <c r="C67" s="489" t="s">
        <v>363</v>
      </c>
      <c r="D67" s="15" t="s">
        <v>17</v>
      </c>
      <c r="E67" s="13"/>
      <c r="F67" s="445">
        <v>1500</v>
      </c>
      <c r="G67" s="65"/>
      <c r="H67" s="65"/>
      <c r="I67" s="65"/>
    </row>
    <row r="68" spans="1:9" s="58" customFormat="1" ht="30" x14ac:dyDescent="0.25">
      <c r="A68" s="109" t="s">
        <v>268</v>
      </c>
      <c r="B68" s="109" t="s">
        <v>268</v>
      </c>
      <c r="C68" s="489" t="s">
        <v>363</v>
      </c>
      <c r="D68" s="91" t="s">
        <v>139</v>
      </c>
      <c r="E68" s="13"/>
      <c r="F68" s="445">
        <v>100</v>
      </c>
      <c r="G68" s="65"/>
      <c r="H68" s="65"/>
      <c r="I68" s="65"/>
    </row>
    <row r="69" spans="1:9" s="58" customFormat="1" ht="75" x14ac:dyDescent="0.25">
      <c r="A69" s="109" t="s">
        <v>268</v>
      </c>
      <c r="B69" s="109" t="s">
        <v>268</v>
      </c>
      <c r="C69" s="489" t="s">
        <v>363</v>
      </c>
      <c r="D69" s="127" t="s">
        <v>321</v>
      </c>
      <c r="E69" s="13"/>
      <c r="F69" s="2">
        <v>237</v>
      </c>
      <c r="G69" s="465"/>
      <c r="H69" s="465"/>
      <c r="I69" s="465"/>
    </row>
    <row r="70" spans="1:9" s="58" customFormat="1" ht="30" x14ac:dyDescent="0.25">
      <c r="A70" s="109" t="s">
        <v>268</v>
      </c>
      <c r="B70" s="109" t="s">
        <v>268</v>
      </c>
      <c r="C70" s="489" t="s">
        <v>363</v>
      </c>
      <c r="D70" s="35" t="s">
        <v>203</v>
      </c>
      <c r="E70" s="13"/>
      <c r="F70" s="225">
        <v>1000</v>
      </c>
      <c r="G70" s="465"/>
      <c r="H70" s="465"/>
      <c r="I70" s="465"/>
    </row>
    <row r="71" spans="1:9" s="58" customFormat="1" x14ac:dyDescent="0.25">
      <c r="A71" s="109" t="s">
        <v>268</v>
      </c>
      <c r="B71" s="109" t="s">
        <v>268</v>
      </c>
      <c r="C71" s="489" t="s">
        <v>363</v>
      </c>
      <c r="D71" s="35" t="s">
        <v>118</v>
      </c>
      <c r="E71" s="13"/>
      <c r="F71" s="225">
        <v>1000</v>
      </c>
      <c r="G71" s="465"/>
      <c r="H71" s="465"/>
      <c r="I71" s="465"/>
    </row>
    <row r="72" spans="1:9" s="58" customFormat="1" x14ac:dyDescent="0.25">
      <c r="A72" s="109" t="s">
        <v>268</v>
      </c>
      <c r="B72" s="109" t="s">
        <v>268</v>
      </c>
      <c r="C72" s="489" t="s">
        <v>363</v>
      </c>
      <c r="D72" s="21" t="s">
        <v>198</v>
      </c>
      <c r="E72" s="13"/>
      <c r="F72" s="29">
        <f>F46+F25</f>
        <v>56295</v>
      </c>
      <c r="G72" s="465"/>
      <c r="H72" s="465"/>
      <c r="I72" s="465"/>
    </row>
    <row r="73" spans="1:9" s="58" customFormat="1" ht="29.25" x14ac:dyDescent="0.25">
      <c r="A73" s="109" t="s">
        <v>268</v>
      </c>
      <c r="B73" s="109" t="s">
        <v>268</v>
      </c>
      <c r="C73" s="489" t="s">
        <v>363</v>
      </c>
      <c r="D73" s="21" t="s">
        <v>199</v>
      </c>
      <c r="E73" s="13"/>
      <c r="F73" s="29">
        <f>F35</f>
        <v>34909</v>
      </c>
      <c r="G73" s="465"/>
      <c r="H73" s="465"/>
      <c r="I73" s="465"/>
    </row>
    <row r="74" spans="1:9" s="58" customFormat="1" x14ac:dyDescent="0.25">
      <c r="A74" s="109" t="s">
        <v>268</v>
      </c>
      <c r="B74" s="109" t="s">
        <v>268</v>
      </c>
      <c r="C74" s="489" t="s">
        <v>363</v>
      </c>
      <c r="D74" s="21" t="s">
        <v>200</v>
      </c>
      <c r="E74" s="13"/>
      <c r="F74" s="29">
        <f>F58+F33</f>
        <v>37969.914893617024</v>
      </c>
      <c r="G74" s="465"/>
      <c r="H74" s="465"/>
      <c r="I74" s="465"/>
    </row>
    <row r="75" spans="1:9" s="58" customFormat="1" ht="29.25" x14ac:dyDescent="0.25">
      <c r="A75" s="109" t="s">
        <v>268</v>
      </c>
      <c r="B75" s="109" t="s">
        <v>268</v>
      </c>
      <c r="C75" s="489" t="s">
        <v>363</v>
      </c>
      <c r="D75" s="21" t="s">
        <v>201</v>
      </c>
      <c r="E75" s="13"/>
      <c r="F75" s="29">
        <f>F62+F64</f>
        <v>26486</v>
      </c>
      <c r="G75" s="465"/>
      <c r="H75" s="465"/>
      <c r="I75" s="465"/>
    </row>
    <row r="76" spans="1:9" s="58" customFormat="1" x14ac:dyDescent="0.25">
      <c r="A76" s="109" t="s">
        <v>268</v>
      </c>
      <c r="B76" s="109" t="s">
        <v>268</v>
      </c>
      <c r="C76" s="489" t="s">
        <v>363</v>
      </c>
      <c r="D76" s="22" t="s">
        <v>109</v>
      </c>
      <c r="E76" s="13"/>
      <c r="F76" s="29">
        <f>F72+F73+F75+F59*2.9+F34*2.9+F61/4.2</f>
        <v>227450.6761904762</v>
      </c>
      <c r="G76" s="465"/>
      <c r="H76" s="465"/>
      <c r="I76" s="465"/>
    </row>
    <row r="77" spans="1:9" s="124" customFormat="1" x14ac:dyDescent="0.25">
      <c r="A77" s="109" t="s">
        <v>268</v>
      </c>
      <c r="B77" s="109" t="s">
        <v>268</v>
      </c>
      <c r="C77" s="489" t="s">
        <v>363</v>
      </c>
      <c r="D77" s="30" t="s">
        <v>7</v>
      </c>
      <c r="E77" s="190"/>
      <c r="F77" s="2"/>
      <c r="G77" s="2"/>
      <c r="H77" s="2"/>
      <c r="I77" s="2"/>
    </row>
    <row r="78" spans="1:9" s="124" customFormat="1" x14ac:dyDescent="0.25">
      <c r="A78" s="109" t="s">
        <v>268</v>
      </c>
      <c r="B78" s="109" t="s">
        <v>268</v>
      </c>
      <c r="C78" s="489" t="s">
        <v>363</v>
      </c>
      <c r="D78" s="40" t="s">
        <v>91</v>
      </c>
      <c r="E78" s="190"/>
      <c r="F78" s="2"/>
      <c r="G78" s="2"/>
      <c r="H78" s="2"/>
      <c r="I78" s="2"/>
    </row>
    <row r="79" spans="1:9" s="124" customFormat="1" x14ac:dyDescent="0.25">
      <c r="A79" s="109" t="s">
        <v>268</v>
      </c>
      <c r="B79" s="109" t="s">
        <v>268</v>
      </c>
      <c r="C79" s="489" t="s">
        <v>363</v>
      </c>
      <c r="D79" s="1" t="s">
        <v>25</v>
      </c>
      <c r="E79" s="354">
        <v>300</v>
      </c>
      <c r="F79" s="2">
        <v>11</v>
      </c>
      <c r="G79" s="355">
        <v>8</v>
      </c>
      <c r="H79" s="2">
        <f>ROUND(I79/E79,0)</f>
        <v>0</v>
      </c>
      <c r="I79" s="2">
        <f>ROUND(F79*G79,0)</f>
        <v>88</v>
      </c>
    </row>
    <row r="80" spans="1:9" s="124" customFormat="1" x14ac:dyDescent="0.25">
      <c r="A80" s="109" t="s">
        <v>268</v>
      </c>
      <c r="B80" s="109" t="s">
        <v>268</v>
      </c>
      <c r="C80" s="489" t="s">
        <v>363</v>
      </c>
      <c r="D80" s="30" t="s">
        <v>9</v>
      </c>
      <c r="E80" s="354"/>
      <c r="F80" s="29">
        <f>SUM(F79)</f>
        <v>11</v>
      </c>
      <c r="G80" s="143">
        <f>I80/F80</f>
        <v>8</v>
      </c>
      <c r="H80" s="29">
        <f>SUM(H76:H79)</f>
        <v>0</v>
      </c>
      <c r="I80" s="29">
        <f>I79</f>
        <v>88</v>
      </c>
    </row>
    <row r="81" spans="1:68" s="124" customFormat="1" x14ac:dyDescent="0.25">
      <c r="A81" s="109" t="s">
        <v>268</v>
      </c>
      <c r="B81" s="109" t="s">
        <v>268</v>
      </c>
      <c r="C81" s="489" t="s">
        <v>363</v>
      </c>
      <c r="D81" s="40" t="s">
        <v>71</v>
      </c>
      <c r="E81" s="354"/>
      <c r="F81" s="31"/>
      <c r="G81" s="36"/>
      <c r="H81" s="31"/>
      <c r="I81" s="31"/>
    </row>
    <row r="82" spans="1:68" s="124" customFormat="1" x14ac:dyDescent="0.25">
      <c r="A82" s="109" t="s">
        <v>268</v>
      </c>
      <c r="B82" s="109" t="s">
        <v>268</v>
      </c>
      <c r="C82" s="489" t="s">
        <v>363</v>
      </c>
      <c r="D82" s="25" t="s">
        <v>20</v>
      </c>
      <c r="E82" s="354">
        <v>240</v>
      </c>
      <c r="F82" s="2">
        <v>900</v>
      </c>
      <c r="G82" s="355">
        <v>8</v>
      </c>
      <c r="H82" s="2">
        <f>ROUND(I82/E82,0)</f>
        <v>30</v>
      </c>
      <c r="I82" s="2">
        <f>ROUND(F82*G82,0)</f>
        <v>7200</v>
      </c>
    </row>
    <row r="83" spans="1:68" s="124" customFormat="1" x14ac:dyDescent="0.25">
      <c r="A83" s="109" t="s">
        <v>268</v>
      </c>
      <c r="B83" s="109" t="s">
        <v>268</v>
      </c>
      <c r="C83" s="489" t="s">
        <v>363</v>
      </c>
      <c r="D83" s="25" t="s">
        <v>37</v>
      </c>
      <c r="E83" s="354">
        <v>240</v>
      </c>
      <c r="F83" s="2">
        <v>700</v>
      </c>
      <c r="G83" s="355">
        <v>8</v>
      </c>
      <c r="H83" s="2">
        <f>ROUND(I83/E83,0)</f>
        <v>23</v>
      </c>
      <c r="I83" s="2">
        <f>ROUND(F83*G83,0)</f>
        <v>5600</v>
      </c>
    </row>
    <row r="84" spans="1:68" s="124" customFormat="1" x14ac:dyDescent="0.25">
      <c r="A84" s="109"/>
      <c r="B84" s="109"/>
      <c r="C84" s="489" t="s">
        <v>363</v>
      </c>
      <c r="D84" s="25" t="s">
        <v>329</v>
      </c>
      <c r="E84" s="354">
        <v>240</v>
      </c>
      <c r="F84" s="2">
        <v>68</v>
      </c>
      <c r="G84" s="47">
        <v>1</v>
      </c>
      <c r="H84" s="2">
        <f>ROUND(I84/E84,0)</f>
        <v>0</v>
      </c>
      <c r="I84" s="2">
        <f>ROUND(F84*G84,0)</f>
        <v>68</v>
      </c>
    </row>
    <row r="85" spans="1:68" s="124" customFormat="1" x14ac:dyDescent="0.25">
      <c r="A85" s="109" t="s">
        <v>268</v>
      </c>
      <c r="B85" s="109" t="s">
        <v>268</v>
      </c>
      <c r="C85" s="489" t="s">
        <v>363</v>
      </c>
      <c r="D85" s="25" t="s">
        <v>13</v>
      </c>
      <c r="E85" s="354">
        <v>240</v>
      </c>
      <c r="F85" s="2">
        <v>100</v>
      </c>
      <c r="G85" s="355">
        <v>8</v>
      </c>
      <c r="H85" s="2">
        <f>ROUND(I85/E85,0)</f>
        <v>3</v>
      </c>
      <c r="I85" s="2">
        <f>ROUND(F85*G85,0)</f>
        <v>800</v>
      </c>
    </row>
    <row r="86" spans="1:68" s="124" customFormat="1" x14ac:dyDescent="0.25">
      <c r="A86" s="109" t="s">
        <v>268</v>
      </c>
      <c r="B86" s="109" t="s">
        <v>268</v>
      </c>
      <c r="C86" s="489" t="s">
        <v>363</v>
      </c>
      <c r="D86" s="25" t="s">
        <v>35</v>
      </c>
      <c r="E86" s="354">
        <v>240</v>
      </c>
      <c r="F86" s="2">
        <v>15</v>
      </c>
      <c r="G86" s="355">
        <v>8</v>
      </c>
      <c r="H86" s="2">
        <f>ROUND(I86/E86,0)</f>
        <v>1</v>
      </c>
      <c r="I86" s="2">
        <f>ROUND(F86*G86,0)</f>
        <v>120</v>
      </c>
    </row>
    <row r="87" spans="1:68" s="124" customFormat="1" x14ac:dyDescent="0.25">
      <c r="A87" s="109" t="s">
        <v>268</v>
      </c>
      <c r="B87" s="109" t="s">
        <v>268</v>
      </c>
      <c r="C87" s="489" t="s">
        <v>363</v>
      </c>
      <c r="D87" s="92" t="s">
        <v>92</v>
      </c>
      <c r="E87" s="591"/>
      <c r="F87" s="29">
        <f>SUM(F82:F86)</f>
        <v>1783</v>
      </c>
      <c r="G87" s="592">
        <f>I87/F87</f>
        <v>7.7330342120022433</v>
      </c>
      <c r="H87" s="31">
        <f>SUM(H82:H86)</f>
        <v>57</v>
      </c>
      <c r="I87" s="31">
        <f>SUM(I82:I86)</f>
        <v>13788</v>
      </c>
    </row>
    <row r="88" spans="1:68" x14ac:dyDescent="0.25">
      <c r="A88" s="109" t="s">
        <v>268</v>
      </c>
      <c r="B88" s="109" t="s">
        <v>268</v>
      </c>
      <c r="C88" s="489" t="s">
        <v>363</v>
      </c>
      <c r="D88" s="26" t="s">
        <v>86</v>
      </c>
      <c r="E88" s="198"/>
      <c r="F88" s="29">
        <f>SUM(F87,F80)</f>
        <v>1794</v>
      </c>
      <c r="G88" s="143">
        <f>I88/F88</f>
        <v>7.7346711259754741</v>
      </c>
      <c r="H88" s="29">
        <f>H80+H87</f>
        <v>57</v>
      </c>
      <c r="I88" s="29">
        <f>I80+I87</f>
        <v>13876</v>
      </c>
    </row>
    <row r="89" spans="1:68" x14ac:dyDescent="0.25">
      <c r="A89" s="109" t="s">
        <v>268</v>
      </c>
      <c r="B89" s="109" t="s">
        <v>268</v>
      </c>
      <c r="C89" s="489" t="s">
        <v>363</v>
      </c>
      <c r="D89" s="70"/>
      <c r="E89" s="198"/>
      <c r="F89" s="43"/>
      <c r="G89" s="151"/>
      <c r="H89" s="302"/>
      <c r="I89" s="43"/>
    </row>
    <row r="90" spans="1:68" ht="30" x14ac:dyDescent="0.25">
      <c r="A90" s="109"/>
      <c r="B90" s="109"/>
      <c r="C90" s="489" t="s">
        <v>363</v>
      </c>
      <c r="D90" s="443" t="s">
        <v>332</v>
      </c>
      <c r="E90" s="160"/>
      <c r="F90" s="302"/>
      <c r="G90" s="593"/>
      <c r="H90" s="303"/>
      <c r="I90" s="43"/>
    </row>
    <row r="91" spans="1:68" ht="30" x14ac:dyDescent="0.25">
      <c r="A91" s="109"/>
      <c r="B91" s="109"/>
      <c r="C91" s="489" t="s">
        <v>363</v>
      </c>
      <c r="D91" s="178" t="s">
        <v>333</v>
      </c>
      <c r="E91" s="198"/>
      <c r="F91" s="43"/>
      <c r="G91" s="147"/>
      <c r="H91" s="303"/>
      <c r="I91" s="302"/>
    </row>
    <row r="92" spans="1:68" ht="30" x14ac:dyDescent="0.25">
      <c r="A92" s="109"/>
      <c r="B92" s="109"/>
      <c r="C92" s="489" t="s">
        <v>363</v>
      </c>
      <c r="D92" s="443" t="s">
        <v>334</v>
      </c>
      <c r="E92" s="160"/>
      <c r="F92" s="302"/>
      <c r="G92" s="143"/>
      <c r="H92" s="43"/>
      <c r="I92" s="43"/>
    </row>
    <row r="93" spans="1:68" ht="45" x14ac:dyDescent="0.25">
      <c r="A93" s="109"/>
      <c r="B93" s="109"/>
      <c r="C93" s="489" t="s">
        <v>363</v>
      </c>
      <c r="D93" s="444" t="s">
        <v>335</v>
      </c>
      <c r="E93" s="594"/>
      <c r="F93" s="490"/>
      <c r="G93" s="151"/>
      <c r="H93" s="302"/>
      <c r="I93" s="302"/>
    </row>
    <row r="94" spans="1:68" s="598" customFormat="1" ht="15.75" thickBot="1" x14ac:dyDescent="0.3">
      <c r="A94" s="109" t="s">
        <v>268</v>
      </c>
      <c r="B94" s="109" t="s">
        <v>268</v>
      </c>
      <c r="C94" s="489" t="s">
        <v>363</v>
      </c>
      <c r="D94" s="520" t="s">
        <v>220</v>
      </c>
      <c r="E94" s="595"/>
      <c r="F94" s="596"/>
      <c r="G94" s="595"/>
      <c r="H94" s="595"/>
      <c r="I94" s="595"/>
      <c r="J94" s="597"/>
      <c r="K94" s="597"/>
      <c r="L94" s="597"/>
      <c r="M94" s="597"/>
      <c r="N94" s="597"/>
      <c r="O94" s="597"/>
      <c r="P94" s="597"/>
      <c r="Q94" s="597"/>
      <c r="R94" s="597"/>
      <c r="S94" s="597"/>
      <c r="T94" s="597"/>
      <c r="U94" s="597"/>
      <c r="V94" s="597"/>
      <c r="W94" s="597"/>
      <c r="X94" s="597"/>
      <c r="Y94" s="597"/>
      <c r="Z94" s="597"/>
      <c r="AA94" s="597"/>
      <c r="AB94" s="597"/>
      <c r="AC94" s="597"/>
      <c r="AD94" s="597"/>
      <c r="AE94" s="597"/>
      <c r="AF94" s="597"/>
      <c r="AG94" s="597"/>
      <c r="AH94" s="597"/>
      <c r="AI94" s="597"/>
      <c r="AJ94" s="597"/>
      <c r="AK94" s="597"/>
      <c r="AL94" s="597"/>
      <c r="AM94" s="597"/>
      <c r="AN94" s="597"/>
      <c r="AO94" s="597"/>
      <c r="AP94" s="597"/>
      <c r="AQ94" s="597"/>
      <c r="AR94" s="597"/>
      <c r="AS94" s="597"/>
      <c r="AT94" s="597"/>
      <c r="AU94" s="597"/>
      <c r="AV94" s="597"/>
      <c r="AW94" s="597"/>
      <c r="AX94" s="597"/>
      <c r="AY94" s="597"/>
      <c r="AZ94" s="597"/>
      <c r="BA94" s="597"/>
      <c r="BB94" s="597"/>
      <c r="BC94" s="597"/>
      <c r="BD94" s="597"/>
      <c r="BE94" s="597"/>
      <c r="BF94" s="597"/>
      <c r="BG94" s="597"/>
      <c r="BH94" s="597"/>
      <c r="BI94" s="597"/>
      <c r="BJ94" s="597"/>
      <c r="BK94" s="597"/>
      <c r="BL94" s="597"/>
      <c r="BM94" s="597"/>
      <c r="BN94" s="597"/>
      <c r="BO94" s="597"/>
      <c r="BP94" s="597"/>
    </row>
    <row r="95" spans="1:68" ht="31.5" hidden="1" x14ac:dyDescent="0.25">
      <c r="A95" s="104">
        <v>1</v>
      </c>
      <c r="B95" s="109" t="s">
        <v>269</v>
      </c>
      <c r="C95" s="489" t="s">
        <v>363</v>
      </c>
      <c r="D95" s="678" t="s">
        <v>405</v>
      </c>
      <c r="E95" s="599"/>
      <c r="F95" s="424"/>
      <c r="G95" s="2"/>
      <c r="H95" s="2"/>
      <c r="I95" s="2"/>
    </row>
    <row r="96" spans="1:68" hidden="1" x14ac:dyDescent="0.25">
      <c r="A96" s="104">
        <v>1</v>
      </c>
      <c r="B96" s="109" t="s">
        <v>269</v>
      </c>
      <c r="C96" s="489" t="s">
        <v>363</v>
      </c>
      <c r="D96" s="112" t="s">
        <v>4</v>
      </c>
      <c r="E96" s="600"/>
      <c r="F96" s="2"/>
      <c r="G96" s="2"/>
      <c r="H96" s="2"/>
      <c r="I96" s="2"/>
    </row>
    <row r="97" spans="1:11" hidden="1" x14ac:dyDescent="0.25">
      <c r="A97" s="104">
        <v>1</v>
      </c>
      <c r="B97" s="109" t="s">
        <v>269</v>
      </c>
      <c r="C97" s="489" t="s">
        <v>363</v>
      </c>
      <c r="D97" s="117" t="s">
        <v>37</v>
      </c>
      <c r="E97" s="354">
        <v>340</v>
      </c>
      <c r="F97" s="680">
        <v>626</v>
      </c>
      <c r="G97" s="355">
        <v>12</v>
      </c>
      <c r="H97" s="2">
        <f>ROUND(I97/E97,0)</f>
        <v>22</v>
      </c>
      <c r="I97" s="2">
        <f>ROUND(F97*G97,0)</f>
        <v>7512</v>
      </c>
    </row>
    <row r="98" spans="1:11" hidden="1" x14ac:dyDescent="0.25">
      <c r="A98" s="104">
        <v>1</v>
      </c>
      <c r="B98" s="109" t="s">
        <v>269</v>
      </c>
      <c r="C98" s="489" t="s">
        <v>363</v>
      </c>
      <c r="D98" s="117" t="s">
        <v>41</v>
      </c>
      <c r="E98" s="354">
        <v>340</v>
      </c>
      <c r="F98" s="680">
        <v>335</v>
      </c>
      <c r="G98" s="355">
        <v>10.5</v>
      </c>
      <c r="H98" s="2">
        <f>ROUND(I98/E98,0)</f>
        <v>10</v>
      </c>
      <c r="I98" s="2">
        <f>ROUND(F98*G98,0)</f>
        <v>3518</v>
      </c>
    </row>
    <row r="99" spans="1:11" hidden="1" x14ac:dyDescent="0.25">
      <c r="A99" s="104">
        <v>1</v>
      </c>
      <c r="B99" s="109" t="s">
        <v>269</v>
      </c>
      <c r="C99" s="489" t="s">
        <v>363</v>
      </c>
      <c r="D99" s="117" t="s">
        <v>35</v>
      </c>
      <c r="E99" s="354">
        <v>340</v>
      </c>
      <c r="F99" s="680">
        <v>962</v>
      </c>
      <c r="G99" s="355">
        <v>10.5</v>
      </c>
      <c r="H99" s="2">
        <f>ROUND(I99/E99,0)</f>
        <v>30</v>
      </c>
      <c r="I99" s="2">
        <f>ROUND(F99*G99,0)</f>
        <v>10101</v>
      </c>
    </row>
    <row r="100" spans="1:11" s="124" customFormat="1" hidden="1" x14ac:dyDescent="0.25">
      <c r="A100" s="104">
        <v>1</v>
      </c>
      <c r="B100" s="109" t="s">
        <v>269</v>
      </c>
      <c r="C100" s="489" t="s">
        <v>363</v>
      </c>
      <c r="D100" s="589" t="s">
        <v>5</v>
      </c>
      <c r="E100" s="190"/>
      <c r="F100" s="29">
        <f>SUM(F97:F99)</f>
        <v>1923</v>
      </c>
      <c r="G100" s="143">
        <f>I100/F100</f>
        <v>10.988559542381696</v>
      </c>
      <c r="H100" s="29">
        <f>H97+H98+H99</f>
        <v>62</v>
      </c>
      <c r="I100" s="29">
        <f>I97+I98+I99</f>
        <v>21131</v>
      </c>
    </row>
    <row r="101" spans="1:11" s="124" customFormat="1" hidden="1" x14ac:dyDescent="0.25">
      <c r="A101" s="104">
        <v>1</v>
      </c>
      <c r="B101" s="109" t="s">
        <v>269</v>
      </c>
      <c r="C101" s="489" t="s">
        <v>363</v>
      </c>
      <c r="D101" s="117"/>
      <c r="E101" s="115"/>
      <c r="F101" s="10"/>
      <c r="G101" s="116"/>
      <c r="H101" s="2"/>
      <c r="I101" s="2"/>
      <c r="K101" s="191"/>
    </row>
    <row r="102" spans="1:11" s="58" customFormat="1" ht="60" hidden="1" x14ac:dyDescent="0.25">
      <c r="A102" s="104">
        <v>1</v>
      </c>
      <c r="B102" s="109" t="s">
        <v>269</v>
      </c>
      <c r="C102" s="489" t="s">
        <v>363</v>
      </c>
      <c r="D102" s="428" t="s">
        <v>294</v>
      </c>
      <c r="E102" s="12"/>
      <c r="F102" s="84"/>
      <c r="G102" s="57"/>
      <c r="H102" s="57"/>
      <c r="I102" s="57"/>
    </row>
    <row r="103" spans="1:11" s="58" customFormat="1" hidden="1" x14ac:dyDescent="0.25">
      <c r="A103" s="104"/>
      <c r="B103" s="109" t="s">
        <v>269</v>
      </c>
      <c r="C103" s="489" t="s">
        <v>363</v>
      </c>
      <c r="D103" s="14" t="s">
        <v>187</v>
      </c>
      <c r="E103" s="12"/>
      <c r="F103" s="84">
        <f>F105+F106+F107+F108+F110</f>
        <v>27511</v>
      </c>
      <c r="G103" s="57"/>
      <c r="H103" s="57"/>
      <c r="I103" s="57"/>
    </row>
    <row r="104" spans="1:11" s="58" customFormat="1" hidden="1" x14ac:dyDescent="0.25">
      <c r="A104" s="104"/>
      <c r="B104" s="109" t="s">
        <v>269</v>
      </c>
      <c r="C104" s="489" t="s">
        <v>363</v>
      </c>
      <c r="D104" s="18" t="s">
        <v>113</v>
      </c>
      <c r="E104" s="12"/>
      <c r="F104" s="84"/>
      <c r="G104" s="57"/>
      <c r="H104" s="57"/>
      <c r="I104" s="57"/>
    </row>
    <row r="105" spans="1:11" s="58" customFormat="1" ht="30" hidden="1" x14ac:dyDescent="0.25">
      <c r="A105" s="104"/>
      <c r="B105" s="109" t="s">
        <v>269</v>
      </c>
      <c r="C105" s="489" t="s">
        <v>363</v>
      </c>
      <c r="D105" s="18" t="s">
        <v>114</v>
      </c>
      <c r="E105" s="12"/>
      <c r="F105" s="65">
        <v>8500</v>
      </c>
      <c r="G105" s="57"/>
      <c r="H105" s="57"/>
      <c r="I105" s="57"/>
    </row>
    <row r="106" spans="1:11" s="58" customFormat="1" ht="30" hidden="1" x14ac:dyDescent="0.25">
      <c r="A106" s="104"/>
      <c r="B106" s="109" t="s">
        <v>269</v>
      </c>
      <c r="C106" s="489" t="s">
        <v>363</v>
      </c>
      <c r="D106" s="16" t="s">
        <v>361</v>
      </c>
      <c r="E106" s="12"/>
      <c r="F106" s="84">
        <f>6700-4000</f>
        <v>2700</v>
      </c>
      <c r="G106" s="57"/>
      <c r="H106" s="57"/>
      <c r="I106" s="57"/>
    </row>
    <row r="107" spans="1:11" s="58" customFormat="1" ht="45" hidden="1" x14ac:dyDescent="0.25">
      <c r="A107" s="104"/>
      <c r="B107" s="109" t="s">
        <v>269</v>
      </c>
      <c r="C107" s="489" t="s">
        <v>363</v>
      </c>
      <c r="D107" s="15" t="s">
        <v>219</v>
      </c>
      <c r="E107" s="12"/>
      <c r="F107" s="65">
        <v>5500</v>
      </c>
      <c r="G107" s="57"/>
      <c r="H107" s="57"/>
      <c r="I107" s="57"/>
    </row>
    <row r="108" spans="1:11" s="58" customFormat="1" ht="45" hidden="1" x14ac:dyDescent="0.25">
      <c r="A108" s="104"/>
      <c r="B108" s="109" t="s">
        <v>269</v>
      </c>
      <c r="C108" s="489" t="s">
        <v>363</v>
      </c>
      <c r="D108" s="15" t="s">
        <v>188</v>
      </c>
      <c r="E108" s="12"/>
      <c r="F108" s="65">
        <f>4650+4000</f>
        <v>8650</v>
      </c>
      <c r="G108" s="57"/>
      <c r="H108" s="57"/>
      <c r="I108" s="57"/>
    </row>
    <row r="109" spans="1:11" s="58" customFormat="1" ht="75" hidden="1" x14ac:dyDescent="0.25">
      <c r="A109" s="104"/>
      <c r="B109" s="109"/>
      <c r="C109" s="489" t="s">
        <v>363</v>
      </c>
      <c r="D109" s="15" t="s">
        <v>353</v>
      </c>
      <c r="E109" s="12"/>
      <c r="F109" s="65">
        <v>4000</v>
      </c>
      <c r="G109" s="57"/>
      <c r="H109" s="57"/>
      <c r="I109" s="57"/>
    </row>
    <row r="110" spans="1:11" s="58" customFormat="1" ht="30" hidden="1" x14ac:dyDescent="0.25">
      <c r="A110" s="104"/>
      <c r="B110" s="109"/>
      <c r="C110" s="489" t="s">
        <v>363</v>
      </c>
      <c r="D110" s="15" t="s">
        <v>293</v>
      </c>
      <c r="E110" s="12"/>
      <c r="F110" s="65">
        <v>2161</v>
      </c>
      <c r="G110" s="57"/>
      <c r="H110" s="57"/>
      <c r="I110" s="57"/>
    </row>
    <row r="111" spans="1:11" s="58" customFormat="1" hidden="1" x14ac:dyDescent="0.25">
      <c r="A111" s="104"/>
      <c r="B111" s="109" t="s">
        <v>269</v>
      </c>
      <c r="C111" s="489" t="s">
        <v>363</v>
      </c>
      <c r="D111" s="60" t="s">
        <v>88</v>
      </c>
      <c r="E111" s="12"/>
      <c r="F111" s="84">
        <v>35409</v>
      </c>
      <c r="G111" s="57"/>
      <c r="H111" s="57"/>
      <c r="I111" s="57"/>
    </row>
    <row r="112" spans="1:11" s="58" customFormat="1" hidden="1" x14ac:dyDescent="0.25">
      <c r="A112" s="104"/>
      <c r="B112" s="109" t="s">
        <v>269</v>
      </c>
      <c r="C112" s="489" t="s">
        <v>363</v>
      </c>
      <c r="D112" s="19" t="s">
        <v>145</v>
      </c>
      <c r="E112" s="12"/>
      <c r="F112" s="65">
        <v>35409</v>
      </c>
      <c r="G112" s="57"/>
      <c r="H112" s="57"/>
      <c r="I112" s="57"/>
    </row>
    <row r="113" spans="1:10" s="58" customFormat="1" ht="47.25" hidden="1" x14ac:dyDescent="0.25">
      <c r="A113" s="104"/>
      <c r="B113" s="109" t="s">
        <v>269</v>
      </c>
      <c r="C113" s="489" t="s">
        <v>363</v>
      </c>
      <c r="D113" s="61" t="s">
        <v>292</v>
      </c>
      <c r="E113" s="12"/>
      <c r="F113" s="84">
        <f>F114+F119</f>
        <v>14196</v>
      </c>
      <c r="G113" s="57"/>
      <c r="H113" s="57"/>
      <c r="I113" s="57"/>
    </row>
    <row r="114" spans="1:10" s="58" customFormat="1" ht="30" hidden="1" x14ac:dyDescent="0.25">
      <c r="A114" s="104"/>
      <c r="B114" s="109" t="s">
        <v>269</v>
      </c>
      <c r="C114" s="489" t="s">
        <v>363</v>
      </c>
      <c r="D114" s="16" t="s">
        <v>189</v>
      </c>
      <c r="E114" s="12"/>
      <c r="F114" s="84">
        <f>SUM(F115:F118)</f>
        <v>6605</v>
      </c>
      <c r="G114" s="57"/>
      <c r="H114" s="57"/>
      <c r="I114" s="57"/>
    </row>
    <row r="115" spans="1:10" s="58" customFormat="1" ht="30" hidden="1" x14ac:dyDescent="0.25">
      <c r="A115" s="104"/>
      <c r="B115" s="109" t="s">
        <v>269</v>
      </c>
      <c r="C115" s="489" t="s">
        <v>363</v>
      </c>
      <c r="D115" s="15" t="s">
        <v>190</v>
      </c>
      <c r="E115" s="12"/>
      <c r="F115" s="65">
        <v>6548</v>
      </c>
      <c r="G115" s="57"/>
      <c r="H115" s="57"/>
      <c r="I115" s="57"/>
    </row>
    <row r="116" spans="1:10" s="58" customFormat="1" ht="45" hidden="1" x14ac:dyDescent="0.25">
      <c r="A116" s="104"/>
      <c r="B116" s="109" t="s">
        <v>269</v>
      </c>
      <c r="C116" s="489" t="s">
        <v>363</v>
      </c>
      <c r="D116" s="15" t="s">
        <v>191</v>
      </c>
      <c r="E116" s="12"/>
      <c r="F116" s="84"/>
      <c r="G116" s="57"/>
      <c r="H116" s="57"/>
      <c r="I116" s="57"/>
    </row>
    <row r="117" spans="1:10" s="58" customFormat="1" ht="30" hidden="1" x14ac:dyDescent="0.25">
      <c r="A117" s="104"/>
      <c r="B117" s="109" t="s">
        <v>269</v>
      </c>
      <c r="C117" s="489" t="s">
        <v>363</v>
      </c>
      <c r="D117" s="15" t="s">
        <v>192</v>
      </c>
      <c r="E117" s="12"/>
      <c r="F117" s="84"/>
      <c r="G117" s="57"/>
      <c r="H117" s="57"/>
      <c r="I117" s="57"/>
    </row>
    <row r="118" spans="1:10" s="58" customFormat="1" ht="30" hidden="1" x14ac:dyDescent="0.25">
      <c r="A118" s="104">
        <v>1</v>
      </c>
      <c r="B118" s="109" t="s">
        <v>269</v>
      </c>
      <c r="C118" s="489" t="s">
        <v>363</v>
      </c>
      <c r="D118" s="15" t="s">
        <v>193</v>
      </c>
      <c r="E118" s="62"/>
      <c r="F118" s="57">
        <v>57</v>
      </c>
      <c r="G118" s="57"/>
      <c r="H118" s="57"/>
      <c r="I118" s="57"/>
    </row>
    <row r="119" spans="1:10" s="58" customFormat="1" ht="30" hidden="1" x14ac:dyDescent="0.25">
      <c r="A119" s="104">
        <v>1</v>
      </c>
      <c r="B119" s="109" t="s">
        <v>269</v>
      </c>
      <c r="C119" s="489" t="s">
        <v>363</v>
      </c>
      <c r="D119" s="16" t="s">
        <v>194</v>
      </c>
      <c r="E119" s="24"/>
      <c r="F119" s="29">
        <f>SUM(F120:F122)</f>
        <v>7591</v>
      </c>
      <c r="G119" s="24"/>
      <c r="H119" s="24"/>
      <c r="I119" s="24"/>
    </row>
    <row r="120" spans="1:10" s="58" customFormat="1" ht="30" hidden="1" x14ac:dyDescent="0.25">
      <c r="A120" s="104">
        <v>1</v>
      </c>
      <c r="B120" s="109" t="s">
        <v>269</v>
      </c>
      <c r="C120" s="489" t="s">
        <v>363</v>
      </c>
      <c r="D120" s="15" t="s">
        <v>195</v>
      </c>
      <c r="E120" s="62"/>
      <c r="F120" s="57">
        <v>2327</v>
      </c>
      <c r="G120" s="57"/>
      <c r="H120" s="57"/>
      <c r="I120" s="57"/>
    </row>
    <row r="121" spans="1:10" s="58" customFormat="1" ht="45" hidden="1" x14ac:dyDescent="0.25">
      <c r="A121" s="104">
        <v>1</v>
      </c>
      <c r="B121" s="109" t="s">
        <v>269</v>
      </c>
      <c r="C121" s="489" t="s">
        <v>363</v>
      </c>
      <c r="D121" s="15" t="s">
        <v>196</v>
      </c>
      <c r="E121" s="62"/>
      <c r="F121" s="2">
        <v>3254</v>
      </c>
      <c r="G121" s="57"/>
      <c r="H121" s="57"/>
      <c r="I121" s="57"/>
    </row>
    <row r="122" spans="1:10" s="58" customFormat="1" ht="45" hidden="1" x14ac:dyDescent="0.25">
      <c r="A122" s="104">
        <v>1</v>
      </c>
      <c r="B122" s="109" t="s">
        <v>269</v>
      </c>
      <c r="C122" s="489" t="s">
        <v>363</v>
      </c>
      <c r="D122" s="15" t="s">
        <v>197</v>
      </c>
      <c r="E122" s="62"/>
      <c r="F122" s="2">
        <v>2010</v>
      </c>
      <c r="G122" s="57"/>
      <c r="H122" s="57"/>
      <c r="I122" s="57"/>
    </row>
    <row r="123" spans="1:10" s="58" customFormat="1" ht="45" hidden="1" x14ac:dyDescent="0.25">
      <c r="A123" s="104"/>
      <c r="B123" s="109"/>
      <c r="C123" s="489" t="s">
        <v>363</v>
      </c>
      <c r="D123" s="15" t="s">
        <v>295</v>
      </c>
      <c r="E123" s="62"/>
      <c r="F123" s="2">
        <v>800</v>
      </c>
      <c r="G123" s="93"/>
      <c r="H123" s="93"/>
      <c r="I123" s="93"/>
    </row>
    <row r="124" spans="1:10" s="58" customFormat="1" ht="28.5" hidden="1" customHeight="1" x14ac:dyDescent="0.25">
      <c r="A124" s="104"/>
      <c r="B124" s="109"/>
      <c r="C124" s="489" t="s">
        <v>363</v>
      </c>
      <c r="D124" s="12" t="s">
        <v>96</v>
      </c>
      <c r="E124" s="62"/>
      <c r="F124" s="2"/>
      <c r="G124" s="57"/>
      <c r="H124" s="57"/>
      <c r="I124" s="57"/>
    </row>
    <row r="125" spans="1:10" s="58" customFormat="1" hidden="1" x14ac:dyDescent="0.25">
      <c r="A125" s="104">
        <v>1</v>
      </c>
      <c r="B125" s="109" t="s">
        <v>269</v>
      </c>
      <c r="C125" s="489" t="s">
        <v>363</v>
      </c>
      <c r="D125" s="14" t="s">
        <v>296</v>
      </c>
      <c r="E125" s="62"/>
      <c r="F125" s="29">
        <f>SUM(F126,F127,F131,F132,F133,F134)</f>
        <v>1158.5</v>
      </c>
      <c r="G125" s="57"/>
      <c r="H125" s="57"/>
      <c r="I125" s="57"/>
    </row>
    <row r="126" spans="1:10" s="58" customFormat="1" hidden="1" x14ac:dyDescent="0.25">
      <c r="A126" s="104">
        <v>1</v>
      </c>
      <c r="B126" s="109" t="s">
        <v>269</v>
      </c>
      <c r="C126" s="489" t="s">
        <v>363</v>
      </c>
      <c r="D126" s="15" t="s">
        <v>297</v>
      </c>
      <c r="E126" s="62"/>
      <c r="F126" s="10"/>
      <c r="G126" s="57"/>
      <c r="H126" s="57"/>
      <c r="I126" s="57"/>
    </row>
    <row r="127" spans="1:10" s="124" customFormat="1" ht="30" hidden="1" x14ac:dyDescent="0.25">
      <c r="A127" s="104">
        <v>1</v>
      </c>
      <c r="B127" s="109" t="s">
        <v>269</v>
      </c>
      <c r="C127" s="489" t="s">
        <v>363</v>
      </c>
      <c r="D127" s="16" t="s">
        <v>298</v>
      </c>
      <c r="E127" s="13"/>
      <c r="F127" s="2">
        <f>F128+F129/4+F130</f>
        <v>212.5</v>
      </c>
      <c r="G127" s="2"/>
      <c r="H127" s="2"/>
      <c r="I127" s="2"/>
      <c r="J127" s="58"/>
    </row>
    <row r="128" spans="1:10" s="124" customFormat="1" hidden="1" x14ac:dyDescent="0.25">
      <c r="A128" s="104"/>
      <c r="B128" s="109" t="s">
        <v>269</v>
      </c>
      <c r="C128" s="489" t="s">
        <v>363</v>
      </c>
      <c r="D128" s="15" t="s">
        <v>299</v>
      </c>
      <c r="E128" s="13"/>
      <c r="F128" s="13"/>
      <c r="G128" s="10"/>
      <c r="H128" s="10"/>
      <c r="I128" s="10"/>
      <c r="J128" s="58"/>
    </row>
    <row r="129" spans="1:10" s="124" customFormat="1" ht="30" hidden="1" x14ac:dyDescent="0.25">
      <c r="A129" s="104">
        <v>1</v>
      </c>
      <c r="B129" s="109" t="s">
        <v>269</v>
      </c>
      <c r="C129" s="489" t="s">
        <v>363</v>
      </c>
      <c r="D129" s="15" t="s">
        <v>300</v>
      </c>
      <c r="E129" s="41"/>
      <c r="F129" s="2">
        <v>850</v>
      </c>
      <c r="G129" s="2"/>
      <c r="H129" s="2"/>
      <c r="I129" s="2"/>
      <c r="J129" s="58"/>
    </row>
    <row r="130" spans="1:10" s="124" customFormat="1" ht="45" hidden="1" x14ac:dyDescent="0.25">
      <c r="A130" s="104">
        <v>1</v>
      </c>
      <c r="B130" s="109" t="s">
        <v>269</v>
      </c>
      <c r="C130" s="489" t="s">
        <v>363</v>
      </c>
      <c r="D130" s="15" t="s">
        <v>301</v>
      </c>
      <c r="E130" s="41"/>
      <c r="F130" s="10"/>
      <c r="G130" s="2"/>
      <c r="H130" s="2"/>
      <c r="I130" s="2"/>
      <c r="J130" s="58"/>
    </row>
    <row r="131" spans="1:10" s="58" customFormat="1" ht="30" hidden="1" x14ac:dyDescent="0.25">
      <c r="A131" s="104">
        <v>1</v>
      </c>
      <c r="B131" s="109" t="s">
        <v>269</v>
      </c>
      <c r="C131" s="489" t="s">
        <v>363</v>
      </c>
      <c r="D131" s="15" t="s">
        <v>302</v>
      </c>
      <c r="E131" s="13"/>
      <c r="F131" s="2"/>
      <c r="G131" s="65"/>
      <c r="H131" s="65"/>
      <c r="I131" s="65"/>
    </row>
    <row r="132" spans="1:10" s="58" customFormat="1" ht="45" hidden="1" x14ac:dyDescent="0.25">
      <c r="A132" s="104">
        <v>1</v>
      </c>
      <c r="B132" s="109" t="s">
        <v>269</v>
      </c>
      <c r="C132" s="489" t="s">
        <v>363</v>
      </c>
      <c r="D132" s="18" t="s">
        <v>310</v>
      </c>
      <c r="E132" s="13"/>
      <c r="F132" s="2"/>
      <c r="G132" s="65"/>
      <c r="H132" s="65"/>
      <c r="I132" s="65"/>
    </row>
    <row r="133" spans="1:10" s="58" customFormat="1" ht="75" hidden="1" x14ac:dyDescent="0.25">
      <c r="A133" s="53"/>
      <c r="B133" s="109"/>
      <c r="C133" s="489" t="s">
        <v>363</v>
      </c>
      <c r="D133" s="18" t="s">
        <v>354</v>
      </c>
      <c r="E133" s="13"/>
      <c r="F133" s="55">
        <v>50</v>
      </c>
      <c r="G133" s="65"/>
      <c r="H133" s="65"/>
      <c r="I133" s="43"/>
      <c r="J133" s="52"/>
    </row>
    <row r="134" spans="1:10" s="58" customFormat="1" ht="28.5" hidden="1" x14ac:dyDescent="0.25">
      <c r="A134" s="53"/>
      <c r="B134" s="109"/>
      <c r="C134" s="489" t="s">
        <v>363</v>
      </c>
      <c r="D134" s="66" t="s">
        <v>344</v>
      </c>
      <c r="E134" s="13"/>
      <c r="F134" s="55">
        <f>F135</f>
        <v>896</v>
      </c>
      <c r="G134" s="59"/>
      <c r="H134" s="59"/>
      <c r="I134" s="81"/>
      <c r="J134" s="52"/>
    </row>
    <row r="135" spans="1:10" s="58" customFormat="1" hidden="1" x14ac:dyDescent="0.25">
      <c r="A135" s="53"/>
      <c r="B135" s="109"/>
      <c r="C135" s="489" t="s">
        <v>363</v>
      </c>
      <c r="D135" s="18" t="s">
        <v>345</v>
      </c>
      <c r="E135" s="13"/>
      <c r="F135" s="55">
        <v>896</v>
      </c>
      <c r="G135" s="59"/>
      <c r="H135" s="59"/>
      <c r="I135" s="81"/>
      <c r="J135" s="52"/>
    </row>
    <row r="136" spans="1:10" s="58" customFormat="1" ht="28.5" hidden="1" x14ac:dyDescent="0.25">
      <c r="A136" s="53"/>
      <c r="B136" s="109"/>
      <c r="C136" s="489" t="s">
        <v>363</v>
      </c>
      <c r="D136" s="66" t="s">
        <v>346</v>
      </c>
      <c r="E136" s="13"/>
      <c r="F136" s="55"/>
      <c r="G136" s="59"/>
      <c r="H136" s="59"/>
      <c r="I136" s="81"/>
      <c r="J136" s="52"/>
    </row>
    <row r="137" spans="1:10" s="58" customFormat="1" hidden="1" x14ac:dyDescent="0.25">
      <c r="A137" s="104">
        <v>1</v>
      </c>
      <c r="B137" s="109" t="s">
        <v>269</v>
      </c>
      <c r="C137" s="489" t="s">
        <v>363</v>
      </c>
      <c r="D137" s="14" t="s">
        <v>303</v>
      </c>
      <c r="E137" s="13"/>
      <c r="F137" s="2">
        <f>F138+F139</f>
        <v>7794.0425531914889</v>
      </c>
      <c r="G137" s="65"/>
      <c r="H137" s="65"/>
      <c r="I137" s="65"/>
    </row>
    <row r="138" spans="1:10" s="58" customFormat="1" hidden="1" x14ac:dyDescent="0.25">
      <c r="A138" s="104">
        <v>1</v>
      </c>
      <c r="B138" s="109" t="s">
        <v>269</v>
      </c>
      <c r="C138" s="489" t="s">
        <v>363</v>
      </c>
      <c r="D138" s="14" t="s">
        <v>304</v>
      </c>
      <c r="E138" s="13"/>
      <c r="F138" s="2"/>
      <c r="G138" s="65"/>
      <c r="H138" s="65"/>
      <c r="I138" s="65"/>
    </row>
    <row r="139" spans="1:10" s="58" customFormat="1" hidden="1" x14ac:dyDescent="0.25">
      <c r="A139" s="104">
        <v>1</v>
      </c>
      <c r="B139" s="109" t="s">
        <v>269</v>
      </c>
      <c r="C139" s="489" t="s">
        <v>363</v>
      </c>
      <c r="D139" s="15" t="s">
        <v>305</v>
      </c>
      <c r="E139" s="13"/>
      <c r="F139" s="57">
        <f>F140/9.4</f>
        <v>7794.0425531914889</v>
      </c>
      <c r="G139" s="65"/>
      <c r="H139" s="65"/>
      <c r="I139" s="65"/>
    </row>
    <row r="140" spans="1:10" s="58" customFormat="1" hidden="1" x14ac:dyDescent="0.25">
      <c r="A140" s="104">
        <v>1</v>
      </c>
      <c r="B140" s="109" t="s">
        <v>269</v>
      </c>
      <c r="C140" s="489" t="s">
        <v>363</v>
      </c>
      <c r="D140" s="42" t="s">
        <v>314</v>
      </c>
      <c r="E140" s="13"/>
      <c r="F140" s="57">
        <v>73264</v>
      </c>
      <c r="G140" s="65"/>
      <c r="H140" s="65"/>
      <c r="I140" s="65"/>
    </row>
    <row r="141" spans="1:10" s="58" customFormat="1" ht="29.25" hidden="1" x14ac:dyDescent="0.25">
      <c r="A141" s="104">
        <v>1</v>
      </c>
      <c r="B141" s="109" t="s">
        <v>269</v>
      </c>
      <c r="C141" s="489" t="s">
        <v>363</v>
      </c>
      <c r="D141" s="14" t="s">
        <v>306</v>
      </c>
      <c r="E141" s="13"/>
      <c r="F141" s="57">
        <v>10350</v>
      </c>
      <c r="G141" s="65"/>
      <c r="H141" s="65"/>
      <c r="I141" s="65"/>
    </row>
    <row r="142" spans="1:10" s="58" customFormat="1" hidden="1" x14ac:dyDescent="0.25">
      <c r="A142" s="104">
        <v>1</v>
      </c>
      <c r="B142" s="109" t="s">
        <v>269</v>
      </c>
      <c r="C142" s="489" t="s">
        <v>363</v>
      </c>
      <c r="D142" s="19" t="s">
        <v>115</v>
      </c>
      <c r="E142" s="13"/>
      <c r="F142" s="57"/>
      <c r="G142" s="65"/>
      <c r="H142" s="65"/>
      <c r="I142" s="65"/>
    </row>
    <row r="143" spans="1:10" s="58" customFormat="1" ht="57.75" hidden="1" x14ac:dyDescent="0.25">
      <c r="A143" s="104">
        <v>1</v>
      </c>
      <c r="B143" s="109" t="s">
        <v>269</v>
      </c>
      <c r="C143" s="489" t="s">
        <v>363</v>
      </c>
      <c r="D143" s="14" t="s">
        <v>307</v>
      </c>
      <c r="E143" s="13"/>
      <c r="F143" s="57">
        <v>50</v>
      </c>
      <c r="G143" s="65"/>
      <c r="H143" s="65"/>
      <c r="I143" s="65"/>
    </row>
    <row r="144" spans="1:10" s="58" customFormat="1" hidden="1" x14ac:dyDescent="0.25">
      <c r="A144" s="104">
        <v>1</v>
      </c>
      <c r="B144" s="109" t="s">
        <v>269</v>
      </c>
      <c r="C144" s="489" t="s">
        <v>363</v>
      </c>
      <c r="D144" s="20" t="s">
        <v>158</v>
      </c>
      <c r="E144" s="13"/>
      <c r="F144" s="94">
        <f>SUM(F145:F147)</f>
        <v>1800</v>
      </c>
      <c r="G144" s="65"/>
      <c r="H144" s="65"/>
      <c r="I144" s="65"/>
    </row>
    <row r="145" spans="1:9" s="58" customFormat="1" ht="30" hidden="1" x14ac:dyDescent="0.25">
      <c r="A145" s="104">
        <v>1</v>
      </c>
      <c r="B145" s="109" t="s">
        <v>269</v>
      </c>
      <c r="C145" s="489" t="s">
        <v>363</v>
      </c>
      <c r="D145" s="35" t="s">
        <v>202</v>
      </c>
      <c r="E145" s="13"/>
      <c r="F145" s="2">
        <v>600</v>
      </c>
      <c r="G145" s="65"/>
      <c r="H145" s="65"/>
      <c r="I145" s="65"/>
    </row>
    <row r="146" spans="1:9" s="58" customFormat="1" ht="30" hidden="1" x14ac:dyDescent="0.25">
      <c r="A146" s="104">
        <v>1</v>
      </c>
      <c r="B146" s="109" t="s">
        <v>269</v>
      </c>
      <c r="C146" s="489" t="s">
        <v>363</v>
      </c>
      <c r="D146" s="35" t="s">
        <v>203</v>
      </c>
      <c r="E146" s="13"/>
      <c r="F146" s="2">
        <v>800</v>
      </c>
      <c r="G146" s="65"/>
      <c r="H146" s="65"/>
      <c r="I146" s="65"/>
    </row>
    <row r="147" spans="1:9" s="58" customFormat="1" hidden="1" x14ac:dyDescent="0.25">
      <c r="A147" s="104">
        <v>1</v>
      </c>
      <c r="B147" s="109" t="s">
        <v>269</v>
      </c>
      <c r="C147" s="489" t="s">
        <v>363</v>
      </c>
      <c r="D147" s="35" t="s">
        <v>118</v>
      </c>
      <c r="E147" s="13"/>
      <c r="F147" s="39">
        <v>400</v>
      </c>
      <c r="G147" s="65"/>
      <c r="H147" s="65"/>
      <c r="I147" s="65"/>
    </row>
    <row r="148" spans="1:9" s="58" customFormat="1" hidden="1" x14ac:dyDescent="0.25">
      <c r="A148" s="104">
        <v>1</v>
      </c>
      <c r="B148" s="109" t="s">
        <v>269</v>
      </c>
      <c r="C148" s="489" t="s">
        <v>363</v>
      </c>
      <c r="D148" s="21" t="s">
        <v>198</v>
      </c>
      <c r="E148" s="13"/>
      <c r="F148" s="83">
        <f>F125+F103</f>
        <v>28669.5</v>
      </c>
      <c r="G148" s="65"/>
      <c r="H148" s="65"/>
      <c r="I148" s="65"/>
    </row>
    <row r="149" spans="1:9" s="58" customFormat="1" ht="29.25" hidden="1" x14ac:dyDescent="0.25">
      <c r="A149" s="104">
        <v>1</v>
      </c>
      <c r="B149" s="109" t="s">
        <v>269</v>
      </c>
      <c r="C149" s="489" t="s">
        <v>363</v>
      </c>
      <c r="D149" s="21" t="s">
        <v>199</v>
      </c>
      <c r="E149" s="13"/>
      <c r="F149" s="83">
        <f>F113</f>
        <v>14196</v>
      </c>
      <c r="G149" s="65"/>
      <c r="H149" s="65"/>
      <c r="I149" s="65"/>
    </row>
    <row r="150" spans="1:9" s="58" customFormat="1" hidden="1" x14ac:dyDescent="0.25">
      <c r="A150" s="104">
        <v>1</v>
      </c>
      <c r="B150" s="109" t="s">
        <v>269</v>
      </c>
      <c r="C150" s="489" t="s">
        <v>363</v>
      </c>
      <c r="D150" s="21" t="s">
        <v>200</v>
      </c>
      <c r="E150" s="13"/>
      <c r="F150" s="83">
        <f>F137+F111</f>
        <v>43203.042553191488</v>
      </c>
      <c r="G150" s="65"/>
      <c r="H150" s="65"/>
      <c r="I150" s="65"/>
    </row>
    <row r="151" spans="1:9" s="58" customFormat="1" ht="29.25" hidden="1" x14ac:dyDescent="0.25">
      <c r="A151" s="104">
        <v>1</v>
      </c>
      <c r="B151" s="109" t="s">
        <v>269</v>
      </c>
      <c r="C151" s="489" t="s">
        <v>363</v>
      </c>
      <c r="D151" s="21" t="s">
        <v>201</v>
      </c>
      <c r="E151" s="13"/>
      <c r="F151" s="29">
        <f>F141+F143+F123</f>
        <v>11200</v>
      </c>
      <c r="G151" s="65"/>
      <c r="H151" s="65"/>
      <c r="I151" s="65"/>
    </row>
    <row r="152" spans="1:9" s="58" customFormat="1" hidden="1" x14ac:dyDescent="0.25">
      <c r="A152" s="104">
        <v>1</v>
      </c>
      <c r="B152" s="109" t="s">
        <v>269</v>
      </c>
      <c r="C152" s="489" t="s">
        <v>363</v>
      </c>
      <c r="D152" s="22" t="s">
        <v>109</v>
      </c>
      <c r="E152" s="13"/>
      <c r="F152" s="29">
        <f>F151+F148+F149+F112*2.9+F140/4.2</f>
        <v>174195.4095238095</v>
      </c>
      <c r="G152" s="65"/>
      <c r="H152" s="65"/>
      <c r="I152" s="65"/>
    </row>
    <row r="153" spans="1:9" s="124" customFormat="1" hidden="1" x14ac:dyDescent="0.25">
      <c r="A153" s="104">
        <v>1</v>
      </c>
      <c r="B153" s="109" t="s">
        <v>269</v>
      </c>
      <c r="C153" s="489" t="s">
        <v>363</v>
      </c>
      <c r="D153" s="30" t="s">
        <v>7</v>
      </c>
      <c r="E153" s="601"/>
      <c r="F153" s="2"/>
      <c r="G153" s="2"/>
      <c r="H153" s="2"/>
      <c r="I153" s="2"/>
    </row>
    <row r="154" spans="1:9" s="124" customFormat="1" hidden="1" x14ac:dyDescent="0.25">
      <c r="A154" s="104">
        <v>1</v>
      </c>
      <c r="B154" s="109" t="s">
        <v>269</v>
      </c>
      <c r="C154" s="489" t="s">
        <v>363</v>
      </c>
      <c r="D154" s="40" t="s">
        <v>91</v>
      </c>
      <c r="E154" s="601"/>
      <c r="F154" s="2"/>
      <c r="G154" s="2"/>
      <c r="H154" s="2"/>
      <c r="I154" s="2"/>
    </row>
    <row r="155" spans="1:9" s="124" customFormat="1" hidden="1" x14ac:dyDescent="0.25">
      <c r="A155" s="104">
        <v>1</v>
      </c>
      <c r="B155" s="109" t="s">
        <v>269</v>
      </c>
      <c r="C155" s="489" t="s">
        <v>363</v>
      </c>
      <c r="D155" s="1" t="s">
        <v>41</v>
      </c>
      <c r="E155" s="602">
        <v>300</v>
      </c>
      <c r="F155" s="2">
        <v>170</v>
      </c>
      <c r="G155" s="588">
        <v>10.5</v>
      </c>
      <c r="H155" s="2">
        <f>ROUND(I155/E155,0)</f>
        <v>6</v>
      </c>
      <c r="I155" s="2">
        <f>ROUND(F155*G155,0)</f>
        <v>1785</v>
      </c>
    </row>
    <row r="156" spans="1:9" s="124" customFormat="1" hidden="1" x14ac:dyDescent="0.25">
      <c r="A156" s="104">
        <v>1</v>
      </c>
      <c r="B156" s="109" t="s">
        <v>269</v>
      </c>
      <c r="C156" s="489" t="s">
        <v>363</v>
      </c>
      <c r="D156" s="139" t="s">
        <v>9</v>
      </c>
      <c r="E156" s="603"/>
      <c r="F156" s="31">
        <f>SUM(F155)</f>
        <v>170</v>
      </c>
      <c r="G156" s="604">
        <f>I156/F156</f>
        <v>10.5</v>
      </c>
      <c r="H156" s="31">
        <f>SUM(H155:H155)</f>
        <v>6</v>
      </c>
      <c r="I156" s="31">
        <f>SUM(I155:I155)</f>
        <v>1785</v>
      </c>
    </row>
    <row r="157" spans="1:9" s="124" customFormat="1" hidden="1" x14ac:dyDescent="0.25">
      <c r="A157" s="104">
        <v>1</v>
      </c>
      <c r="B157" s="109" t="s">
        <v>269</v>
      </c>
      <c r="C157" s="489" t="s">
        <v>363</v>
      </c>
      <c r="D157" s="40" t="s">
        <v>71</v>
      </c>
      <c r="E157" s="603"/>
      <c r="F157" s="403"/>
      <c r="G157" s="605"/>
      <c r="H157" s="403"/>
      <c r="I157" s="403"/>
    </row>
    <row r="158" spans="1:9" s="124" customFormat="1" hidden="1" x14ac:dyDescent="0.25">
      <c r="A158" s="104">
        <v>1</v>
      </c>
      <c r="B158" s="109" t="s">
        <v>269</v>
      </c>
      <c r="C158" s="489" t="s">
        <v>363</v>
      </c>
      <c r="D158" s="25" t="s">
        <v>25</v>
      </c>
      <c r="E158" s="354">
        <v>240</v>
      </c>
      <c r="F158" s="2">
        <v>30</v>
      </c>
      <c r="G158" s="355">
        <v>8</v>
      </c>
      <c r="H158" s="2">
        <f t="shared" ref="H158:H162" si="2">ROUND(I158/E158,0)</f>
        <v>1</v>
      </c>
      <c r="I158" s="2">
        <f t="shared" ref="I158:I162" si="3">ROUND(F158*G158,0)</f>
        <v>240</v>
      </c>
    </row>
    <row r="159" spans="1:9" s="124" customFormat="1" hidden="1" x14ac:dyDescent="0.25">
      <c r="A159" s="104">
        <v>1</v>
      </c>
      <c r="B159" s="109" t="s">
        <v>269</v>
      </c>
      <c r="C159" s="489" t="s">
        <v>363</v>
      </c>
      <c r="D159" s="25" t="s">
        <v>20</v>
      </c>
      <c r="E159" s="354">
        <v>240</v>
      </c>
      <c r="F159" s="2">
        <v>330</v>
      </c>
      <c r="G159" s="355">
        <v>8</v>
      </c>
      <c r="H159" s="2">
        <f t="shared" si="2"/>
        <v>11</v>
      </c>
      <c r="I159" s="2">
        <f t="shared" si="3"/>
        <v>2640</v>
      </c>
    </row>
    <row r="160" spans="1:9" s="124" customFormat="1" hidden="1" x14ac:dyDescent="0.25">
      <c r="A160" s="104">
        <v>1</v>
      </c>
      <c r="B160" s="109" t="s">
        <v>269</v>
      </c>
      <c r="C160" s="489" t="s">
        <v>363</v>
      </c>
      <c r="D160" s="25" t="s">
        <v>37</v>
      </c>
      <c r="E160" s="354">
        <v>240</v>
      </c>
      <c r="F160" s="2">
        <v>1210</v>
      </c>
      <c r="G160" s="355">
        <v>8</v>
      </c>
      <c r="H160" s="2">
        <f t="shared" si="2"/>
        <v>40</v>
      </c>
      <c r="I160" s="2">
        <f t="shared" si="3"/>
        <v>9680</v>
      </c>
    </row>
    <row r="161" spans="1:68" s="124" customFormat="1" hidden="1" x14ac:dyDescent="0.25">
      <c r="A161" s="104">
        <v>1</v>
      </c>
      <c r="B161" s="109" t="s">
        <v>269</v>
      </c>
      <c r="C161" s="489" t="s">
        <v>363</v>
      </c>
      <c r="D161" s="25" t="s">
        <v>77</v>
      </c>
      <c r="E161" s="354">
        <v>240</v>
      </c>
      <c r="F161" s="2">
        <v>50</v>
      </c>
      <c r="G161" s="355">
        <v>8</v>
      </c>
      <c r="H161" s="2">
        <f t="shared" si="2"/>
        <v>2</v>
      </c>
      <c r="I161" s="2">
        <f t="shared" si="3"/>
        <v>400</v>
      </c>
    </row>
    <row r="162" spans="1:68" s="124" customFormat="1" hidden="1" x14ac:dyDescent="0.25">
      <c r="A162" s="104">
        <v>1</v>
      </c>
      <c r="B162" s="109" t="s">
        <v>269</v>
      </c>
      <c r="C162" s="489" t="s">
        <v>363</v>
      </c>
      <c r="D162" s="25" t="s">
        <v>33</v>
      </c>
      <c r="E162" s="354">
        <v>240</v>
      </c>
      <c r="F162" s="2">
        <v>30</v>
      </c>
      <c r="G162" s="355">
        <v>8</v>
      </c>
      <c r="H162" s="2">
        <f t="shared" si="2"/>
        <v>1</v>
      </c>
      <c r="I162" s="2">
        <f t="shared" si="3"/>
        <v>240</v>
      </c>
    </row>
    <row r="163" spans="1:68" s="124" customFormat="1" hidden="1" x14ac:dyDescent="0.25">
      <c r="A163" s="104">
        <v>1</v>
      </c>
      <c r="B163" s="109" t="s">
        <v>269</v>
      </c>
      <c r="C163" s="489" t="s">
        <v>363</v>
      </c>
      <c r="D163" s="139" t="s">
        <v>92</v>
      </c>
      <c r="E163" s="606"/>
      <c r="F163" s="31">
        <f>SUM(F158:F162)</f>
        <v>1650</v>
      </c>
      <c r="G163" s="592">
        <f>I163/F163</f>
        <v>8</v>
      </c>
      <c r="H163" s="31">
        <f>SUM(H158:H162)</f>
        <v>55</v>
      </c>
      <c r="I163" s="31">
        <f>SUM(I158:I162)</f>
        <v>13200</v>
      </c>
    </row>
    <row r="164" spans="1:68" hidden="1" x14ac:dyDescent="0.25">
      <c r="A164" s="104">
        <v>1</v>
      </c>
      <c r="B164" s="109" t="s">
        <v>269</v>
      </c>
      <c r="C164" s="489" t="s">
        <v>363</v>
      </c>
      <c r="D164" s="26" t="s">
        <v>86</v>
      </c>
      <c r="E164" s="354"/>
      <c r="F164" s="29">
        <f>SUM(F163,F156)</f>
        <v>1820</v>
      </c>
      <c r="G164" s="143">
        <f>I164/F164</f>
        <v>8.2335164835164836</v>
      </c>
      <c r="H164" s="29">
        <f>H156+H163</f>
        <v>61</v>
      </c>
      <c r="I164" s="29">
        <f>I156+I163</f>
        <v>14985</v>
      </c>
    </row>
    <row r="165" spans="1:68" ht="31.5" hidden="1" x14ac:dyDescent="0.25">
      <c r="A165" s="104">
        <v>1</v>
      </c>
      <c r="B165" s="109" t="s">
        <v>269</v>
      </c>
      <c r="C165" s="489" t="s">
        <v>363</v>
      </c>
      <c r="D165" s="27" t="s">
        <v>101</v>
      </c>
      <c r="E165" s="354"/>
      <c r="F165" s="403">
        <v>1250</v>
      </c>
      <c r="G165" s="143"/>
      <c r="H165" s="29"/>
      <c r="I165" s="29"/>
    </row>
    <row r="166" spans="1:68" ht="31.5" hidden="1" x14ac:dyDescent="0.25">
      <c r="A166" s="104">
        <v>1</v>
      </c>
      <c r="B166" s="109" t="s">
        <v>269</v>
      </c>
      <c r="C166" s="489" t="s">
        <v>363</v>
      </c>
      <c r="D166" s="27" t="s">
        <v>100</v>
      </c>
      <c r="E166" s="354"/>
      <c r="F166" s="607">
        <v>4080</v>
      </c>
      <c r="G166" s="607"/>
      <c r="H166" s="608"/>
      <c r="I166" s="607"/>
    </row>
    <row r="167" spans="1:68" ht="15.75" hidden="1" x14ac:dyDescent="0.25">
      <c r="B167" s="109" t="s">
        <v>269</v>
      </c>
      <c r="C167" s="489" t="s">
        <v>363</v>
      </c>
      <c r="D167" s="609" t="s">
        <v>159</v>
      </c>
      <c r="E167" s="610"/>
      <c r="F167" s="556">
        <f>SUM(F165:F166)</f>
        <v>5330</v>
      </c>
      <c r="G167" s="151"/>
      <c r="H167" s="490"/>
      <c r="I167" s="302"/>
    </row>
    <row r="168" spans="1:68" s="598" customFormat="1" hidden="1" x14ac:dyDescent="0.25">
      <c r="A168" s="104">
        <v>1</v>
      </c>
      <c r="B168" s="109" t="s">
        <v>269</v>
      </c>
      <c r="C168" s="489" t="s">
        <v>363</v>
      </c>
      <c r="D168" s="611" t="s">
        <v>220</v>
      </c>
      <c r="E168" s="612"/>
      <c r="F168" s="612"/>
      <c r="G168" s="612"/>
      <c r="H168" s="612"/>
      <c r="I168" s="612"/>
      <c r="J168" s="597"/>
      <c r="K168" s="597"/>
      <c r="L168" s="597"/>
      <c r="M168" s="597"/>
      <c r="N168" s="597"/>
      <c r="O168" s="597"/>
      <c r="P168" s="597"/>
      <c r="Q168" s="597"/>
      <c r="R168" s="597"/>
      <c r="S168" s="597"/>
      <c r="T168" s="597"/>
      <c r="U168" s="597"/>
      <c r="V168" s="597"/>
      <c r="W168" s="597"/>
      <c r="X168" s="597"/>
      <c r="Y168" s="597"/>
      <c r="Z168" s="597"/>
      <c r="AA168" s="597"/>
      <c r="AB168" s="597"/>
      <c r="AC168" s="597"/>
      <c r="AD168" s="597"/>
      <c r="AE168" s="597"/>
      <c r="AF168" s="597"/>
      <c r="AG168" s="597"/>
      <c r="AH168" s="597"/>
      <c r="AI168" s="597"/>
      <c r="AJ168" s="597"/>
      <c r="AK168" s="597"/>
      <c r="AL168" s="597"/>
      <c r="AM168" s="597"/>
      <c r="AN168" s="597"/>
      <c r="AO168" s="597"/>
      <c r="AP168" s="597"/>
      <c r="AQ168" s="597"/>
      <c r="AR168" s="597"/>
      <c r="AS168" s="597"/>
      <c r="AT168" s="597"/>
      <c r="AU168" s="597"/>
      <c r="AV168" s="597"/>
      <c r="AW168" s="597"/>
      <c r="AX168" s="597"/>
      <c r="AY168" s="597"/>
      <c r="AZ168" s="597"/>
      <c r="BA168" s="597"/>
      <c r="BB168" s="597"/>
      <c r="BC168" s="597"/>
      <c r="BD168" s="597"/>
      <c r="BE168" s="597"/>
      <c r="BF168" s="597"/>
      <c r="BG168" s="597"/>
      <c r="BH168" s="597"/>
      <c r="BI168" s="597"/>
      <c r="BJ168" s="597"/>
      <c r="BK168" s="597"/>
      <c r="BL168" s="597"/>
      <c r="BM168" s="597"/>
      <c r="BN168" s="597"/>
      <c r="BO168" s="597"/>
      <c r="BP168" s="597"/>
    </row>
    <row r="169" spans="1:68" hidden="1" x14ac:dyDescent="0.25">
      <c r="A169" s="104">
        <v>1</v>
      </c>
      <c r="C169" s="489" t="s">
        <v>363</v>
      </c>
      <c r="D169" s="613"/>
      <c r="E169" s="599"/>
      <c r="F169" s="2"/>
      <c r="G169" s="2"/>
      <c r="H169" s="2"/>
      <c r="I169" s="2"/>
    </row>
    <row r="170" spans="1:68" ht="31.5" hidden="1" x14ac:dyDescent="0.25">
      <c r="A170" s="104">
        <v>1</v>
      </c>
      <c r="B170" s="109" t="s">
        <v>270</v>
      </c>
      <c r="C170" s="489" t="s">
        <v>363</v>
      </c>
      <c r="D170" s="678" t="s">
        <v>406</v>
      </c>
      <c r="E170" s="600"/>
      <c r="F170" s="2"/>
      <c r="G170" s="2"/>
      <c r="H170" s="2"/>
      <c r="I170" s="2"/>
    </row>
    <row r="171" spans="1:68" hidden="1" x14ac:dyDescent="0.25">
      <c r="A171" s="104">
        <v>1</v>
      </c>
      <c r="B171" s="109" t="s">
        <v>270</v>
      </c>
      <c r="C171" s="489" t="s">
        <v>363</v>
      </c>
      <c r="D171" s="112" t="s">
        <v>4</v>
      </c>
      <c r="E171" s="600"/>
      <c r="F171" s="2"/>
      <c r="G171" s="2"/>
      <c r="H171" s="2"/>
      <c r="I171" s="2"/>
    </row>
    <row r="172" spans="1:68" hidden="1" x14ac:dyDescent="0.25">
      <c r="A172" s="104">
        <v>1</v>
      </c>
      <c r="B172" s="109" t="s">
        <v>270</v>
      </c>
      <c r="C172" s="489" t="s">
        <v>363</v>
      </c>
      <c r="D172" s="117" t="s">
        <v>25</v>
      </c>
      <c r="E172" s="354">
        <v>340</v>
      </c>
      <c r="F172" s="2">
        <v>877</v>
      </c>
      <c r="G172" s="355">
        <v>14</v>
      </c>
      <c r="H172" s="2">
        <f>ROUND(I172/E172,0)</f>
        <v>36</v>
      </c>
      <c r="I172" s="2">
        <f>ROUND(F172*G172,0)</f>
        <v>12278</v>
      </c>
    </row>
    <row r="173" spans="1:68" hidden="1" x14ac:dyDescent="0.25">
      <c r="A173" s="104">
        <v>1</v>
      </c>
      <c r="B173" s="109" t="s">
        <v>270</v>
      </c>
      <c r="C173" s="489" t="s">
        <v>363</v>
      </c>
      <c r="D173" s="117" t="s">
        <v>8</v>
      </c>
      <c r="E173" s="354">
        <v>340</v>
      </c>
      <c r="F173" s="2">
        <v>1768</v>
      </c>
      <c r="G173" s="355">
        <v>7.5</v>
      </c>
      <c r="H173" s="2">
        <f>ROUND(I173/E173,0)</f>
        <v>39</v>
      </c>
      <c r="I173" s="2">
        <f>ROUND(F173*G173,0)</f>
        <v>13260</v>
      </c>
    </row>
    <row r="174" spans="1:68" hidden="1" x14ac:dyDescent="0.25">
      <c r="A174" s="104">
        <v>1</v>
      </c>
      <c r="B174" s="109" t="s">
        <v>270</v>
      </c>
      <c r="C174" s="489" t="s">
        <v>363</v>
      </c>
      <c r="D174" s="117" t="s">
        <v>74</v>
      </c>
      <c r="E174" s="354">
        <v>340</v>
      </c>
      <c r="F174" s="2">
        <v>1300</v>
      </c>
      <c r="G174" s="355">
        <v>9.6999999999999993</v>
      </c>
      <c r="H174" s="2">
        <f>ROUND(I174/E174,0)</f>
        <v>37</v>
      </c>
      <c r="I174" s="2">
        <f>ROUND(F174*G174,0)</f>
        <v>12610</v>
      </c>
    </row>
    <row r="175" spans="1:68" hidden="1" x14ac:dyDescent="0.25">
      <c r="B175" s="109"/>
      <c r="C175" s="489" t="s">
        <v>363</v>
      </c>
      <c r="D175" s="117" t="s">
        <v>42</v>
      </c>
      <c r="E175" s="354">
        <v>340</v>
      </c>
      <c r="F175" s="2">
        <v>350</v>
      </c>
      <c r="G175" s="355">
        <v>9.6999999999999993</v>
      </c>
      <c r="H175" s="2">
        <f>ROUND(I175/E175,0)</f>
        <v>10</v>
      </c>
      <c r="I175" s="2">
        <f>ROUND(F175*G175,0)</f>
        <v>3395</v>
      </c>
    </row>
    <row r="176" spans="1:68" hidden="1" x14ac:dyDescent="0.25">
      <c r="A176" s="104">
        <v>1</v>
      </c>
      <c r="B176" s="109" t="s">
        <v>270</v>
      </c>
      <c r="C176" s="489" t="s">
        <v>363</v>
      </c>
      <c r="D176" s="117" t="s">
        <v>35</v>
      </c>
      <c r="E176" s="354">
        <v>340</v>
      </c>
      <c r="F176" s="2">
        <v>1669</v>
      </c>
      <c r="G176" s="355">
        <v>11</v>
      </c>
      <c r="H176" s="2">
        <f>ROUND(I176/E176,0)</f>
        <v>54</v>
      </c>
      <c r="I176" s="2">
        <f>ROUND(F176*G176,0)</f>
        <v>18359</v>
      </c>
    </row>
    <row r="177" spans="1:9" s="124" customFormat="1" hidden="1" x14ac:dyDescent="0.25">
      <c r="A177" s="104">
        <v>1</v>
      </c>
      <c r="B177" s="109" t="s">
        <v>270</v>
      </c>
      <c r="C177" s="489" t="s">
        <v>363</v>
      </c>
      <c r="D177" s="589" t="s">
        <v>5</v>
      </c>
      <c r="E177" s="190"/>
      <c r="F177" s="29">
        <v>5964</v>
      </c>
      <c r="G177" s="143">
        <f>I177/F177</f>
        <v>10.043930248155601</v>
      </c>
      <c r="H177" s="29">
        <f t="shared" ref="H177:I177" si="4">SUM(H172:H176)</f>
        <v>176</v>
      </c>
      <c r="I177" s="29">
        <f t="shared" si="4"/>
        <v>59902</v>
      </c>
    </row>
    <row r="178" spans="1:9" s="58" customFormat="1" ht="45.75" hidden="1" customHeight="1" x14ac:dyDescent="0.25">
      <c r="A178" s="104">
        <v>1</v>
      </c>
      <c r="B178" s="109" t="s">
        <v>270</v>
      </c>
      <c r="C178" s="489" t="s">
        <v>363</v>
      </c>
      <c r="D178" s="101" t="s">
        <v>294</v>
      </c>
      <c r="E178" s="12"/>
      <c r="F178" s="2"/>
      <c r="G178" s="57"/>
      <c r="H178" s="57"/>
      <c r="I178" s="57"/>
    </row>
    <row r="179" spans="1:9" s="58" customFormat="1" hidden="1" x14ac:dyDescent="0.25">
      <c r="A179" s="104"/>
      <c r="B179" s="109" t="s">
        <v>270</v>
      </c>
      <c r="C179" s="489" t="s">
        <v>363</v>
      </c>
      <c r="D179" s="14" t="s">
        <v>187</v>
      </c>
      <c r="E179" s="614"/>
      <c r="F179" s="29">
        <f>F181+F182+F183+F184+F186</f>
        <v>41729</v>
      </c>
      <c r="G179" s="57"/>
      <c r="H179" s="57"/>
      <c r="I179" s="57"/>
    </row>
    <row r="180" spans="1:9" s="58" customFormat="1" hidden="1" x14ac:dyDescent="0.25">
      <c r="A180" s="104"/>
      <c r="B180" s="109" t="s">
        <v>270</v>
      </c>
      <c r="C180" s="489" t="s">
        <v>363</v>
      </c>
      <c r="D180" s="18" t="s">
        <v>113</v>
      </c>
      <c r="E180" s="12"/>
      <c r="F180" s="2"/>
      <c r="G180" s="57"/>
      <c r="H180" s="57"/>
      <c r="I180" s="57"/>
    </row>
    <row r="181" spans="1:9" s="58" customFormat="1" ht="30" hidden="1" x14ac:dyDescent="0.25">
      <c r="A181" s="104"/>
      <c r="B181" s="109" t="s">
        <v>270</v>
      </c>
      <c r="C181" s="489" t="s">
        <v>363</v>
      </c>
      <c r="D181" s="18" t="s">
        <v>114</v>
      </c>
      <c r="E181" s="12"/>
      <c r="F181" s="2">
        <v>3500</v>
      </c>
      <c r="G181" s="57"/>
      <c r="H181" s="57"/>
      <c r="I181" s="57"/>
    </row>
    <row r="182" spans="1:9" s="58" customFormat="1" ht="30" hidden="1" x14ac:dyDescent="0.25">
      <c r="A182" s="104"/>
      <c r="B182" s="109" t="s">
        <v>270</v>
      </c>
      <c r="C182" s="489" t="s">
        <v>363</v>
      </c>
      <c r="D182" s="16" t="s">
        <v>361</v>
      </c>
      <c r="E182" s="614"/>
      <c r="F182" s="29">
        <v>15100</v>
      </c>
      <c r="G182" s="57"/>
      <c r="H182" s="57"/>
      <c r="I182" s="57"/>
    </row>
    <row r="183" spans="1:9" s="58" customFormat="1" ht="45" hidden="1" x14ac:dyDescent="0.25">
      <c r="A183" s="104"/>
      <c r="B183" s="109" t="s">
        <v>270</v>
      </c>
      <c r="C183" s="489" t="s">
        <v>363</v>
      </c>
      <c r="D183" s="15" t="s">
        <v>219</v>
      </c>
      <c r="E183" s="12"/>
      <c r="F183" s="2">
        <v>9190</v>
      </c>
      <c r="G183" s="57"/>
      <c r="H183" s="57"/>
      <c r="I183" s="57"/>
    </row>
    <row r="184" spans="1:9" s="58" customFormat="1" ht="45" hidden="1" x14ac:dyDescent="0.25">
      <c r="A184" s="104"/>
      <c r="B184" s="109" t="s">
        <v>270</v>
      </c>
      <c r="C184" s="489" t="s">
        <v>363</v>
      </c>
      <c r="D184" s="15" t="s">
        <v>188</v>
      </c>
      <c r="E184" s="12"/>
      <c r="F184" s="2">
        <v>11600</v>
      </c>
      <c r="G184" s="57"/>
      <c r="H184" s="57"/>
      <c r="I184" s="57"/>
    </row>
    <row r="185" spans="1:9" s="58" customFormat="1" ht="75" hidden="1" x14ac:dyDescent="0.25">
      <c r="A185" s="104"/>
      <c r="B185" s="109"/>
      <c r="C185" s="489" t="s">
        <v>363</v>
      </c>
      <c r="D185" s="15" t="s">
        <v>353</v>
      </c>
      <c r="E185" s="12"/>
      <c r="F185" s="2">
        <v>7000</v>
      </c>
      <c r="G185" s="57"/>
      <c r="H185" s="57"/>
      <c r="I185" s="57"/>
    </row>
    <row r="186" spans="1:9" s="58" customFormat="1" ht="30" hidden="1" x14ac:dyDescent="0.25">
      <c r="A186" s="104"/>
      <c r="B186" s="109"/>
      <c r="C186" s="489" t="s">
        <v>363</v>
      </c>
      <c r="D186" s="15" t="s">
        <v>293</v>
      </c>
      <c r="E186" s="12"/>
      <c r="F186" s="2">
        <v>2339</v>
      </c>
      <c r="G186" s="57"/>
      <c r="H186" s="57"/>
      <c r="I186" s="57"/>
    </row>
    <row r="187" spans="1:9" s="58" customFormat="1" hidden="1" x14ac:dyDescent="0.25">
      <c r="A187" s="104"/>
      <c r="B187" s="109" t="s">
        <v>270</v>
      </c>
      <c r="C187" s="489" t="s">
        <v>363</v>
      </c>
      <c r="D187" s="60" t="s">
        <v>88</v>
      </c>
      <c r="E187" s="12"/>
      <c r="F187" s="2">
        <v>25000</v>
      </c>
      <c r="G187" s="57"/>
      <c r="H187" s="57"/>
      <c r="I187" s="57"/>
    </row>
    <row r="188" spans="1:9" s="58" customFormat="1" hidden="1" x14ac:dyDescent="0.25">
      <c r="A188" s="104"/>
      <c r="B188" s="109" t="s">
        <v>270</v>
      </c>
      <c r="C188" s="489" t="s">
        <v>363</v>
      </c>
      <c r="D188" s="19" t="s">
        <v>145</v>
      </c>
      <c r="E188" s="12"/>
      <c r="F188" s="2">
        <v>25000</v>
      </c>
      <c r="G188" s="57"/>
      <c r="H188" s="57"/>
      <c r="I188" s="57"/>
    </row>
    <row r="189" spans="1:9" s="58" customFormat="1" ht="47.25" hidden="1" x14ac:dyDescent="0.25">
      <c r="A189" s="104">
        <v>1</v>
      </c>
      <c r="B189" s="109" t="s">
        <v>270</v>
      </c>
      <c r="C189" s="489" t="s">
        <v>363</v>
      </c>
      <c r="D189" s="61" t="s">
        <v>283</v>
      </c>
      <c r="E189" s="62"/>
      <c r="F189" s="29">
        <f>F190+F195</f>
        <v>9664</v>
      </c>
      <c r="G189" s="57"/>
      <c r="H189" s="57"/>
      <c r="I189" s="57"/>
    </row>
    <row r="190" spans="1:9" s="58" customFormat="1" ht="30" hidden="1" x14ac:dyDescent="0.25">
      <c r="A190" s="104">
        <v>1</v>
      </c>
      <c r="B190" s="109" t="s">
        <v>270</v>
      </c>
      <c r="C190" s="489" t="s">
        <v>363</v>
      </c>
      <c r="D190" s="16" t="s">
        <v>189</v>
      </c>
      <c r="E190" s="62"/>
      <c r="F190" s="29">
        <f>SUM(F191:F194)</f>
        <v>7087</v>
      </c>
      <c r="G190" s="57"/>
      <c r="H190" s="57"/>
      <c r="I190" s="57"/>
    </row>
    <row r="191" spans="1:9" s="58" customFormat="1" ht="30" hidden="1" x14ac:dyDescent="0.25">
      <c r="A191" s="104">
        <v>1</v>
      </c>
      <c r="B191" s="109" t="s">
        <v>270</v>
      </c>
      <c r="C191" s="489" t="s">
        <v>363</v>
      </c>
      <c r="D191" s="15" t="s">
        <v>190</v>
      </c>
      <c r="E191" s="62"/>
      <c r="F191" s="2">
        <v>7087</v>
      </c>
      <c r="G191" s="57"/>
      <c r="H191" s="57"/>
      <c r="I191" s="57"/>
    </row>
    <row r="192" spans="1:9" s="58" customFormat="1" ht="45" hidden="1" x14ac:dyDescent="0.25">
      <c r="A192" s="104">
        <v>1</v>
      </c>
      <c r="B192" s="109" t="s">
        <v>270</v>
      </c>
      <c r="C192" s="489" t="s">
        <v>363</v>
      </c>
      <c r="D192" s="15" t="s">
        <v>191</v>
      </c>
      <c r="E192" s="62"/>
      <c r="F192" s="10"/>
      <c r="G192" s="57"/>
      <c r="H192" s="57"/>
      <c r="I192" s="57"/>
    </row>
    <row r="193" spans="1:10" s="124" customFormat="1" ht="30" hidden="1" x14ac:dyDescent="0.25">
      <c r="A193" s="104">
        <v>1</v>
      </c>
      <c r="B193" s="109" t="s">
        <v>270</v>
      </c>
      <c r="C193" s="489" t="s">
        <v>363</v>
      </c>
      <c r="D193" s="15" t="s">
        <v>192</v>
      </c>
      <c r="E193" s="13"/>
      <c r="F193" s="2"/>
      <c r="G193" s="2"/>
      <c r="H193" s="2"/>
      <c r="I193" s="2"/>
    </row>
    <row r="194" spans="1:10" s="58" customFormat="1" ht="30" hidden="1" x14ac:dyDescent="0.25">
      <c r="A194" s="104">
        <v>1</v>
      </c>
      <c r="B194" s="109" t="s">
        <v>270</v>
      </c>
      <c r="C194" s="489" t="s">
        <v>363</v>
      </c>
      <c r="D194" s="15" t="s">
        <v>193</v>
      </c>
      <c r="E194" s="281"/>
      <c r="F194" s="2"/>
      <c r="G194" s="57"/>
      <c r="H194" s="57"/>
      <c r="I194" s="57"/>
    </row>
    <row r="195" spans="1:10" s="58" customFormat="1" ht="30" hidden="1" x14ac:dyDescent="0.25">
      <c r="A195" s="104">
        <v>1</v>
      </c>
      <c r="B195" s="109" t="s">
        <v>270</v>
      </c>
      <c r="C195" s="489" t="s">
        <v>363</v>
      </c>
      <c r="D195" s="16" t="s">
        <v>194</v>
      </c>
      <c r="E195" s="64"/>
      <c r="F195" s="62">
        <f>SUM(F196:F198)</f>
        <v>2577</v>
      </c>
      <c r="G195" s="65"/>
      <c r="H195" s="65"/>
      <c r="I195" s="65"/>
    </row>
    <row r="196" spans="1:10" s="58" customFormat="1" ht="30" hidden="1" x14ac:dyDescent="0.25">
      <c r="A196" s="104">
        <v>1</v>
      </c>
      <c r="B196" s="109" t="s">
        <v>270</v>
      </c>
      <c r="C196" s="489" t="s">
        <v>363</v>
      </c>
      <c r="D196" s="15" t="s">
        <v>195</v>
      </c>
      <c r="E196" s="13"/>
      <c r="F196" s="2">
        <v>2577</v>
      </c>
      <c r="G196" s="65"/>
      <c r="H196" s="65"/>
      <c r="I196" s="65"/>
    </row>
    <row r="197" spans="1:10" s="58" customFormat="1" ht="45" hidden="1" x14ac:dyDescent="0.25">
      <c r="A197" s="104">
        <v>1</v>
      </c>
      <c r="B197" s="109" t="s">
        <v>270</v>
      </c>
      <c r="C197" s="489" t="s">
        <v>363</v>
      </c>
      <c r="D197" s="15" t="s">
        <v>196</v>
      </c>
      <c r="E197" s="13"/>
      <c r="F197" s="2"/>
      <c r="G197" s="65"/>
      <c r="H197" s="65"/>
      <c r="I197" s="65"/>
    </row>
    <row r="198" spans="1:10" s="58" customFormat="1" ht="45" hidden="1" x14ac:dyDescent="0.25">
      <c r="A198" s="104">
        <v>1</v>
      </c>
      <c r="B198" s="109" t="s">
        <v>270</v>
      </c>
      <c r="C198" s="489" t="s">
        <v>363</v>
      </c>
      <c r="D198" s="15" t="s">
        <v>197</v>
      </c>
      <c r="E198" s="13"/>
      <c r="F198" s="2"/>
      <c r="G198" s="65"/>
      <c r="H198" s="65"/>
      <c r="I198" s="65"/>
    </row>
    <row r="199" spans="1:10" s="58" customFormat="1" ht="43.5" hidden="1" x14ac:dyDescent="0.25">
      <c r="A199" s="104"/>
      <c r="B199" s="109"/>
      <c r="C199" s="489" t="s">
        <v>363</v>
      </c>
      <c r="D199" s="14" t="s">
        <v>295</v>
      </c>
      <c r="E199" s="13"/>
      <c r="F199" s="2">
        <v>243</v>
      </c>
      <c r="G199" s="65"/>
      <c r="H199" s="65"/>
      <c r="I199" s="65"/>
    </row>
    <row r="200" spans="1:10" s="58" customFormat="1" ht="30.75" hidden="1" customHeight="1" x14ac:dyDescent="0.25">
      <c r="A200" s="104"/>
      <c r="B200" s="109"/>
      <c r="C200" s="489" t="s">
        <v>363</v>
      </c>
      <c r="D200" s="12" t="s">
        <v>96</v>
      </c>
      <c r="E200" s="13"/>
      <c r="F200" s="2"/>
      <c r="G200" s="65"/>
      <c r="H200" s="65"/>
      <c r="I200" s="65"/>
    </row>
    <row r="201" spans="1:10" s="58" customFormat="1" hidden="1" x14ac:dyDescent="0.25">
      <c r="A201" s="104">
        <v>1</v>
      </c>
      <c r="B201" s="109" t="s">
        <v>270</v>
      </c>
      <c r="C201" s="489" t="s">
        <v>363</v>
      </c>
      <c r="D201" s="14" t="s">
        <v>296</v>
      </c>
      <c r="E201" s="13"/>
      <c r="F201" s="29">
        <f>SUM(F202,F203,F207,F208,F209,F210)</f>
        <v>1747</v>
      </c>
      <c r="G201" s="65"/>
      <c r="H201" s="65"/>
      <c r="I201" s="65"/>
    </row>
    <row r="202" spans="1:10" s="58" customFormat="1" hidden="1" x14ac:dyDescent="0.25">
      <c r="A202" s="104">
        <v>1</v>
      </c>
      <c r="B202" s="109" t="s">
        <v>270</v>
      </c>
      <c r="C202" s="489" t="s">
        <v>363</v>
      </c>
      <c r="D202" s="15" t="s">
        <v>297</v>
      </c>
      <c r="E202" s="13"/>
      <c r="F202" s="57"/>
      <c r="G202" s="65"/>
      <c r="H202" s="65"/>
      <c r="I202" s="65"/>
    </row>
    <row r="203" spans="1:10" s="58" customFormat="1" ht="30" hidden="1" x14ac:dyDescent="0.25">
      <c r="A203" s="104">
        <v>1</v>
      </c>
      <c r="B203" s="109" t="s">
        <v>270</v>
      </c>
      <c r="C203" s="489" t="s">
        <v>363</v>
      </c>
      <c r="D203" s="16" t="s">
        <v>298</v>
      </c>
      <c r="E203" s="13"/>
      <c r="F203" s="57"/>
      <c r="G203" s="65"/>
      <c r="H203" s="65"/>
      <c r="I203" s="65"/>
    </row>
    <row r="204" spans="1:10" s="124" customFormat="1" hidden="1" x14ac:dyDescent="0.25">
      <c r="A204" s="104"/>
      <c r="B204" s="109" t="s">
        <v>270</v>
      </c>
      <c r="C204" s="489" t="s">
        <v>363</v>
      </c>
      <c r="D204" s="15" t="s">
        <v>299</v>
      </c>
      <c r="E204" s="13"/>
      <c r="F204" s="13"/>
      <c r="G204" s="10"/>
      <c r="H204" s="10"/>
      <c r="I204" s="10"/>
      <c r="J204" s="58"/>
    </row>
    <row r="205" spans="1:10" s="58" customFormat="1" ht="30" hidden="1" x14ac:dyDescent="0.25">
      <c r="A205" s="104">
        <v>1</v>
      </c>
      <c r="B205" s="109" t="s">
        <v>270</v>
      </c>
      <c r="C205" s="489" t="s">
        <v>363</v>
      </c>
      <c r="D205" s="15" t="s">
        <v>300</v>
      </c>
      <c r="E205" s="13"/>
      <c r="F205" s="57"/>
      <c r="G205" s="65"/>
      <c r="H205" s="65"/>
      <c r="I205" s="65"/>
    </row>
    <row r="206" spans="1:10" s="58" customFormat="1" ht="45" hidden="1" x14ac:dyDescent="0.25">
      <c r="A206" s="104">
        <v>1</v>
      </c>
      <c r="B206" s="109" t="s">
        <v>270</v>
      </c>
      <c r="C206" s="489" t="s">
        <v>363</v>
      </c>
      <c r="D206" s="15" t="s">
        <v>301</v>
      </c>
      <c r="E206" s="13"/>
      <c r="F206" s="57"/>
      <c r="G206" s="65"/>
      <c r="H206" s="65"/>
      <c r="I206" s="65"/>
    </row>
    <row r="207" spans="1:10" s="58" customFormat="1" ht="45" hidden="1" x14ac:dyDescent="0.25">
      <c r="A207" s="104">
        <v>1</v>
      </c>
      <c r="B207" s="109" t="s">
        <v>270</v>
      </c>
      <c r="C207" s="489" t="s">
        <v>363</v>
      </c>
      <c r="D207" s="15" t="s">
        <v>309</v>
      </c>
      <c r="E207" s="13"/>
      <c r="F207" s="2"/>
      <c r="G207" s="65"/>
      <c r="H207" s="65"/>
      <c r="I207" s="65"/>
    </row>
    <row r="208" spans="1:10" s="58" customFormat="1" ht="45" hidden="1" x14ac:dyDescent="0.25">
      <c r="A208" s="104">
        <v>1</v>
      </c>
      <c r="B208" s="109" t="s">
        <v>270</v>
      </c>
      <c r="C208" s="489" t="s">
        <v>363</v>
      </c>
      <c r="D208" s="18" t="s">
        <v>310</v>
      </c>
      <c r="E208" s="13"/>
      <c r="F208" s="2"/>
      <c r="G208" s="65"/>
      <c r="H208" s="65"/>
      <c r="I208" s="65"/>
    </row>
    <row r="209" spans="1:10" s="58" customFormat="1" ht="75" hidden="1" x14ac:dyDescent="0.25">
      <c r="A209" s="53"/>
      <c r="B209" s="109"/>
      <c r="C209" s="489" t="s">
        <v>363</v>
      </c>
      <c r="D209" s="18" t="s">
        <v>354</v>
      </c>
      <c r="E209" s="13"/>
      <c r="F209" s="55">
        <v>50</v>
      </c>
      <c r="G209" s="65"/>
      <c r="H209" s="65"/>
      <c r="I209" s="43"/>
      <c r="J209" s="52"/>
    </row>
    <row r="210" spans="1:10" s="58" customFormat="1" ht="28.5" hidden="1" x14ac:dyDescent="0.25">
      <c r="A210" s="53"/>
      <c r="B210" s="109"/>
      <c r="C210" s="489" t="s">
        <v>363</v>
      </c>
      <c r="D210" s="66" t="s">
        <v>344</v>
      </c>
      <c r="E210" s="13"/>
      <c r="F210" s="55">
        <f>F211</f>
        <v>1697</v>
      </c>
      <c r="G210" s="59"/>
      <c r="H210" s="59"/>
      <c r="I210" s="81"/>
      <c r="J210" s="52"/>
    </row>
    <row r="211" spans="1:10" s="58" customFormat="1" hidden="1" x14ac:dyDescent="0.25">
      <c r="A211" s="53"/>
      <c r="B211" s="109"/>
      <c r="C211" s="489" t="s">
        <v>363</v>
      </c>
      <c r="D211" s="18" t="s">
        <v>345</v>
      </c>
      <c r="E211" s="13"/>
      <c r="F211" s="55">
        <v>1697</v>
      </c>
      <c r="G211" s="59"/>
      <c r="H211" s="59"/>
      <c r="I211" s="81"/>
      <c r="J211" s="52"/>
    </row>
    <row r="212" spans="1:10" s="58" customFormat="1" ht="28.5" hidden="1" x14ac:dyDescent="0.25">
      <c r="A212" s="53"/>
      <c r="B212" s="109"/>
      <c r="C212" s="489" t="s">
        <v>363</v>
      </c>
      <c r="D212" s="66" t="s">
        <v>346</v>
      </c>
      <c r="E212" s="13"/>
      <c r="F212" s="55"/>
      <c r="G212" s="59"/>
      <c r="H212" s="59"/>
      <c r="I212" s="81"/>
      <c r="J212" s="52"/>
    </row>
    <row r="213" spans="1:10" s="58" customFormat="1" hidden="1" x14ac:dyDescent="0.25">
      <c r="A213" s="104">
        <v>1</v>
      </c>
      <c r="B213" s="109" t="s">
        <v>270</v>
      </c>
      <c r="C213" s="489" t="s">
        <v>363</v>
      </c>
      <c r="D213" s="14" t="s">
        <v>303</v>
      </c>
      <c r="E213" s="13"/>
      <c r="F213" s="39"/>
      <c r="G213" s="65"/>
      <c r="H213" s="65"/>
      <c r="I213" s="65"/>
    </row>
    <row r="214" spans="1:10" s="58" customFormat="1" hidden="1" x14ac:dyDescent="0.25">
      <c r="A214" s="104">
        <v>1</v>
      </c>
      <c r="B214" s="109" t="s">
        <v>270</v>
      </c>
      <c r="C214" s="489" t="s">
        <v>363</v>
      </c>
      <c r="D214" s="14" t="s">
        <v>304</v>
      </c>
      <c r="E214" s="13"/>
      <c r="F214" s="39"/>
      <c r="G214" s="65"/>
      <c r="H214" s="65"/>
      <c r="I214" s="65"/>
    </row>
    <row r="215" spans="1:10" s="58" customFormat="1" hidden="1" x14ac:dyDescent="0.25">
      <c r="A215" s="104">
        <v>1</v>
      </c>
      <c r="B215" s="109" t="s">
        <v>270</v>
      </c>
      <c r="C215" s="489" t="s">
        <v>363</v>
      </c>
      <c r="D215" s="15" t="s">
        <v>305</v>
      </c>
      <c r="E215" s="13"/>
      <c r="F215" s="39"/>
      <c r="G215" s="65"/>
      <c r="H215" s="65"/>
      <c r="I215" s="65"/>
    </row>
    <row r="216" spans="1:10" s="58" customFormat="1" hidden="1" x14ac:dyDescent="0.25">
      <c r="A216" s="104">
        <v>1</v>
      </c>
      <c r="B216" s="109" t="s">
        <v>270</v>
      </c>
      <c r="C216" s="489" t="s">
        <v>363</v>
      </c>
      <c r="D216" s="42" t="s">
        <v>314</v>
      </c>
      <c r="E216" s="13"/>
      <c r="F216" s="39"/>
      <c r="G216" s="65"/>
      <c r="H216" s="65"/>
      <c r="I216" s="65"/>
    </row>
    <row r="217" spans="1:10" s="58" customFormat="1" ht="29.25" hidden="1" x14ac:dyDescent="0.25">
      <c r="A217" s="104">
        <v>1</v>
      </c>
      <c r="B217" s="109" t="s">
        <v>270</v>
      </c>
      <c r="C217" s="489" t="s">
        <v>363</v>
      </c>
      <c r="D217" s="14" t="s">
        <v>306</v>
      </c>
      <c r="E217" s="13"/>
      <c r="F217" s="2">
        <v>3260</v>
      </c>
      <c r="G217" s="65"/>
      <c r="H217" s="65"/>
      <c r="I217" s="65"/>
    </row>
    <row r="218" spans="1:10" s="58" customFormat="1" hidden="1" x14ac:dyDescent="0.25">
      <c r="A218" s="104">
        <v>1</v>
      </c>
      <c r="B218" s="109" t="s">
        <v>270</v>
      </c>
      <c r="C218" s="489" t="s">
        <v>363</v>
      </c>
      <c r="D218" s="19" t="s">
        <v>115</v>
      </c>
      <c r="E218" s="13"/>
      <c r="F218" s="2"/>
      <c r="G218" s="65"/>
      <c r="H218" s="65"/>
      <c r="I218" s="65"/>
    </row>
    <row r="219" spans="1:10" s="58" customFormat="1" ht="57.75" hidden="1" x14ac:dyDescent="0.25">
      <c r="A219" s="104">
        <v>1</v>
      </c>
      <c r="B219" s="109" t="s">
        <v>270</v>
      </c>
      <c r="C219" s="489" t="s">
        <v>363</v>
      </c>
      <c r="D219" s="14" t="s">
        <v>307</v>
      </c>
      <c r="E219" s="13"/>
      <c r="F219" s="2">
        <v>5000</v>
      </c>
      <c r="G219" s="65"/>
      <c r="H219" s="65"/>
      <c r="I219" s="65"/>
    </row>
    <row r="220" spans="1:10" s="58" customFormat="1" hidden="1" x14ac:dyDescent="0.25">
      <c r="A220" s="104">
        <v>1</v>
      </c>
      <c r="B220" s="109" t="s">
        <v>270</v>
      </c>
      <c r="C220" s="489" t="s">
        <v>363</v>
      </c>
      <c r="D220" s="20" t="s">
        <v>158</v>
      </c>
      <c r="E220" s="62"/>
      <c r="F220" s="62">
        <f>SUM(F221:F224)</f>
        <v>1920</v>
      </c>
      <c r="G220" s="65"/>
      <c r="H220" s="65"/>
      <c r="I220" s="65"/>
    </row>
    <row r="221" spans="1:10" s="58" customFormat="1" ht="75" hidden="1" x14ac:dyDescent="0.25">
      <c r="A221" s="104">
        <v>1</v>
      </c>
      <c r="B221" s="109" t="s">
        <v>270</v>
      </c>
      <c r="C221" s="489" t="s">
        <v>363</v>
      </c>
      <c r="D221" s="35" t="s">
        <v>321</v>
      </c>
      <c r="E221" s="13"/>
      <c r="F221" s="2">
        <v>582</v>
      </c>
      <c r="G221" s="65"/>
      <c r="H221" s="65"/>
      <c r="I221" s="65"/>
    </row>
    <row r="222" spans="1:10" s="124" customFormat="1" ht="30" hidden="1" x14ac:dyDescent="0.25">
      <c r="A222" s="104">
        <v>1</v>
      </c>
      <c r="B222" s="109" t="s">
        <v>270</v>
      </c>
      <c r="C222" s="489" t="s">
        <v>363</v>
      </c>
      <c r="D222" s="35" t="s">
        <v>203</v>
      </c>
      <c r="E222" s="41"/>
      <c r="F222" s="2">
        <v>450</v>
      </c>
      <c r="G222" s="2"/>
      <c r="H222" s="2"/>
      <c r="I222" s="2"/>
      <c r="J222" s="58"/>
    </row>
    <row r="223" spans="1:10" s="58" customFormat="1" ht="30" hidden="1" x14ac:dyDescent="0.25">
      <c r="A223" s="104">
        <v>1</v>
      </c>
      <c r="B223" s="109" t="s">
        <v>270</v>
      </c>
      <c r="C223" s="489" t="s">
        <v>363</v>
      </c>
      <c r="D223" s="35" t="s">
        <v>202</v>
      </c>
      <c r="E223" s="62"/>
      <c r="F223" s="78">
        <v>388</v>
      </c>
      <c r="G223" s="65"/>
      <c r="H223" s="65"/>
      <c r="I223" s="65"/>
    </row>
    <row r="224" spans="1:10" s="58" customFormat="1" hidden="1" x14ac:dyDescent="0.25">
      <c r="A224" s="104">
        <v>1</v>
      </c>
      <c r="B224" s="109" t="s">
        <v>270</v>
      </c>
      <c r="C224" s="489" t="s">
        <v>363</v>
      </c>
      <c r="D224" s="208" t="s">
        <v>118</v>
      </c>
      <c r="E224" s="13"/>
      <c r="F224" s="2">
        <v>500</v>
      </c>
      <c r="G224" s="65"/>
      <c r="H224" s="65"/>
      <c r="I224" s="65"/>
    </row>
    <row r="225" spans="1:9" s="58" customFormat="1" hidden="1" x14ac:dyDescent="0.25">
      <c r="A225" s="104"/>
      <c r="B225" s="109" t="s">
        <v>270</v>
      </c>
      <c r="C225" s="489" t="s">
        <v>363</v>
      </c>
      <c r="D225" s="21" t="s">
        <v>198</v>
      </c>
      <c r="E225" s="13"/>
      <c r="F225" s="29">
        <f>F201+F179</f>
        <v>43476</v>
      </c>
      <c r="G225" s="65"/>
      <c r="H225" s="65"/>
      <c r="I225" s="65"/>
    </row>
    <row r="226" spans="1:9" s="58" customFormat="1" ht="29.25" hidden="1" x14ac:dyDescent="0.25">
      <c r="A226" s="104"/>
      <c r="B226" s="109" t="s">
        <v>270</v>
      </c>
      <c r="C226" s="489" t="s">
        <v>363</v>
      </c>
      <c r="D226" s="21" t="s">
        <v>199</v>
      </c>
      <c r="E226" s="13"/>
      <c r="F226" s="29">
        <f>F189</f>
        <v>9664</v>
      </c>
      <c r="G226" s="65"/>
      <c r="H226" s="65"/>
      <c r="I226" s="65"/>
    </row>
    <row r="227" spans="1:9" s="58" customFormat="1" hidden="1" x14ac:dyDescent="0.25">
      <c r="A227" s="104"/>
      <c r="B227" s="109" t="s">
        <v>270</v>
      </c>
      <c r="C227" s="489" t="s">
        <v>363</v>
      </c>
      <c r="D227" s="21" t="s">
        <v>200</v>
      </c>
      <c r="E227" s="13"/>
      <c r="F227" s="29">
        <f>F213+F187</f>
        <v>25000</v>
      </c>
      <c r="G227" s="65"/>
      <c r="H227" s="65"/>
      <c r="I227" s="65"/>
    </row>
    <row r="228" spans="1:9" s="58" customFormat="1" ht="29.25" hidden="1" x14ac:dyDescent="0.25">
      <c r="A228" s="104">
        <v>1</v>
      </c>
      <c r="B228" s="109" t="s">
        <v>270</v>
      </c>
      <c r="C228" s="489" t="s">
        <v>363</v>
      </c>
      <c r="D228" s="21" t="s">
        <v>201</v>
      </c>
      <c r="E228" s="13"/>
      <c r="F228" s="29">
        <f>F217+F219+F199</f>
        <v>8503</v>
      </c>
      <c r="G228" s="65"/>
      <c r="H228" s="65"/>
      <c r="I228" s="65"/>
    </row>
    <row r="229" spans="1:9" s="58" customFormat="1" hidden="1" x14ac:dyDescent="0.25">
      <c r="A229" s="104">
        <v>1</v>
      </c>
      <c r="B229" s="109" t="s">
        <v>270</v>
      </c>
      <c r="C229" s="489" t="s">
        <v>363</v>
      </c>
      <c r="D229" s="22" t="s">
        <v>109</v>
      </c>
      <c r="E229" s="13"/>
      <c r="F229" s="29">
        <f>F225+F226+F228+F188*2.9</f>
        <v>134143</v>
      </c>
      <c r="G229" s="65"/>
      <c r="H229" s="65"/>
      <c r="I229" s="65"/>
    </row>
    <row r="230" spans="1:9" s="124" customFormat="1" ht="15.75" hidden="1" x14ac:dyDescent="0.25">
      <c r="A230" s="104">
        <v>1</v>
      </c>
      <c r="B230" s="109" t="s">
        <v>270</v>
      </c>
      <c r="C230" s="489" t="s">
        <v>363</v>
      </c>
      <c r="D230" s="23" t="s">
        <v>7</v>
      </c>
      <c r="E230" s="615"/>
      <c r="F230" s="2"/>
      <c r="G230" s="2"/>
      <c r="H230" s="2"/>
      <c r="I230" s="2"/>
    </row>
    <row r="231" spans="1:9" s="124" customFormat="1" ht="15.75" hidden="1" x14ac:dyDescent="0.25">
      <c r="A231" s="104">
        <v>1</v>
      </c>
      <c r="B231" s="109" t="s">
        <v>270</v>
      </c>
      <c r="C231" s="489" t="s">
        <v>363</v>
      </c>
      <c r="D231" s="129" t="s">
        <v>91</v>
      </c>
      <c r="E231" s="615"/>
      <c r="F231" s="2"/>
      <c r="G231" s="2"/>
      <c r="H231" s="2"/>
      <c r="I231" s="2"/>
    </row>
    <row r="232" spans="1:9" s="124" customFormat="1" hidden="1" x14ac:dyDescent="0.25">
      <c r="A232" s="104">
        <v>1</v>
      </c>
      <c r="B232" s="109" t="s">
        <v>270</v>
      </c>
      <c r="C232" s="489" t="s">
        <v>363</v>
      </c>
      <c r="D232" s="1" t="s">
        <v>8</v>
      </c>
      <c r="E232" s="615">
        <v>300</v>
      </c>
      <c r="F232" s="600">
        <v>780</v>
      </c>
      <c r="G232" s="616">
        <v>7.5</v>
      </c>
      <c r="H232" s="2">
        <f>ROUND(I232/E232,0)</f>
        <v>20</v>
      </c>
      <c r="I232" s="2">
        <f>ROUND(F232*G232,0)</f>
        <v>5850</v>
      </c>
    </row>
    <row r="233" spans="1:9" s="124" customFormat="1" hidden="1" x14ac:dyDescent="0.25">
      <c r="A233" s="104">
        <v>1</v>
      </c>
      <c r="B233" s="109" t="s">
        <v>270</v>
      </c>
      <c r="C233" s="489" t="s">
        <v>363</v>
      </c>
      <c r="D233" s="1" t="s">
        <v>43</v>
      </c>
      <c r="E233" s="615">
        <v>300</v>
      </c>
      <c r="F233" s="600">
        <v>140</v>
      </c>
      <c r="G233" s="616">
        <v>10</v>
      </c>
      <c r="H233" s="2">
        <f>ROUND(I233/E233,0)</f>
        <v>5</v>
      </c>
      <c r="I233" s="2">
        <f>ROUND(F233*G233,0)</f>
        <v>1400</v>
      </c>
    </row>
    <row r="234" spans="1:9" s="124" customFormat="1" hidden="1" x14ac:dyDescent="0.25">
      <c r="A234" s="104">
        <v>1</v>
      </c>
      <c r="B234" s="109" t="s">
        <v>270</v>
      </c>
      <c r="C234" s="489" t="s">
        <v>363</v>
      </c>
      <c r="D234" s="1" t="s">
        <v>42</v>
      </c>
      <c r="E234" s="615">
        <v>300</v>
      </c>
      <c r="F234" s="600">
        <v>144</v>
      </c>
      <c r="G234" s="617">
        <v>4</v>
      </c>
      <c r="H234" s="2">
        <f>ROUND(I234/E234,0)</f>
        <v>2</v>
      </c>
      <c r="I234" s="2">
        <f>ROUND(F234*G234,0)</f>
        <v>576</v>
      </c>
    </row>
    <row r="235" spans="1:9" s="124" customFormat="1" hidden="1" x14ac:dyDescent="0.25">
      <c r="A235" s="104">
        <v>1</v>
      </c>
      <c r="B235" s="109" t="s">
        <v>270</v>
      </c>
      <c r="C235" s="489" t="s">
        <v>363</v>
      </c>
      <c r="D235" s="139" t="s">
        <v>9</v>
      </c>
      <c r="E235" s="618"/>
      <c r="F235" s="618">
        <f>SUM(F232:F234)</f>
        <v>1064</v>
      </c>
      <c r="G235" s="143">
        <f>I235/F235</f>
        <v>7.3552631578947372</v>
      </c>
      <c r="H235" s="618">
        <f t="shared" ref="H235:I235" si="5">SUM(H232:H234)</f>
        <v>27</v>
      </c>
      <c r="I235" s="618">
        <f t="shared" si="5"/>
        <v>7826</v>
      </c>
    </row>
    <row r="236" spans="1:9" s="124" customFormat="1" hidden="1" x14ac:dyDescent="0.25">
      <c r="A236" s="104">
        <v>1</v>
      </c>
      <c r="B236" s="109" t="s">
        <v>270</v>
      </c>
      <c r="C236" s="489" t="s">
        <v>363</v>
      </c>
      <c r="D236" s="40" t="s">
        <v>71</v>
      </c>
      <c r="E236" s="618"/>
      <c r="F236" s="619"/>
      <c r="G236" s="36"/>
      <c r="H236" s="619"/>
      <c r="I236" s="619"/>
    </row>
    <row r="237" spans="1:9" s="124" customFormat="1" hidden="1" x14ac:dyDescent="0.25">
      <c r="A237" s="104"/>
      <c r="B237" s="109"/>
      <c r="C237" s="489" t="s">
        <v>363</v>
      </c>
      <c r="D237" s="25" t="s">
        <v>25</v>
      </c>
      <c r="E237" s="354">
        <v>240</v>
      </c>
      <c r="F237" s="2">
        <v>2</v>
      </c>
      <c r="G237" s="355">
        <v>8</v>
      </c>
      <c r="H237" s="2">
        <f>ROUND(I237/E237,0)</f>
        <v>0</v>
      </c>
      <c r="I237" s="2">
        <f>ROUND(F237*G237,0)</f>
        <v>16</v>
      </c>
    </row>
    <row r="238" spans="1:9" s="124" customFormat="1" hidden="1" x14ac:dyDescent="0.25">
      <c r="A238" s="104">
        <v>1</v>
      </c>
      <c r="B238" s="109" t="s">
        <v>270</v>
      </c>
      <c r="C238" s="489" t="s">
        <v>363</v>
      </c>
      <c r="D238" s="25" t="s">
        <v>20</v>
      </c>
      <c r="E238" s="24">
        <v>240</v>
      </c>
      <c r="F238" s="10">
        <v>455</v>
      </c>
      <c r="G238" s="131">
        <v>10</v>
      </c>
      <c r="H238" s="2">
        <f>ROUND(I238/E238,0)</f>
        <v>19</v>
      </c>
      <c r="I238" s="2">
        <f>ROUND(F238*G238,0)</f>
        <v>4550</v>
      </c>
    </row>
    <row r="239" spans="1:9" s="124" customFormat="1" hidden="1" x14ac:dyDescent="0.25">
      <c r="A239" s="104"/>
      <c r="B239" s="109" t="s">
        <v>270</v>
      </c>
      <c r="C239" s="489" t="s">
        <v>363</v>
      </c>
      <c r="D239" s="25" t="s">
        <v>55</v>
      </c>
      <c r="E239" s="24">
        <v>240</v>
      </c>
      <c r="F239" s="10">
        <v>112</v>
      </c>
      <c r="G239" s="131">
        <v>8</v>
      </c>
      <c r="H239" s="2">
        <f>ROUND(I239/E239,0)</f>
        <v>4</v>
      </c>
      <c r="I239" s="2">
        <f>ROUND(F239*G239,0)</f>
        <v>896</v>
      </c>
    </row>
    <row r="240" spans="1:9" s="124" customFormat="1" hidden="1" x14ac:dyDescent="0.25">
      <c r="A240" s="104">
        <v>1</v>
      </c>
      <c r="B240" s="109" t="s">
        <v>270</v>
      </c>
      <c r="C240" s="489" t="s">
        <v>363</v>
      </c>
      <c r="D240" s="25" t="s">
        <v>77</v>
      </c>
      <c r="E240" s="24">
        <v>240</v>
      </c>
      <c r="F240" s="10">
        <v>61</v>
      </c>
      <c r="G240" s="131">
        <v>2</v>
      </c>
      <c r="H240" s="2">
        <f>ROUND(I240/E240,0)</f>
        <v>1</v>
      </c>
      <c r="I240" s="2">
        <f>ROUND(F240*G240,0)</f>
        <v>122</v>
      </c>
    </row>
    <row r="241" spans="1:68" s="124" customFormat="1" hidden="1" x14ac:dyDescent="0.25">
      <c r="A241" s="104">
        <v>1</v>
      </c>
      <c r="B241" s="109" t="s">
        <v>270</v>
      </c>
      <c r="C241" s="489" t="s">
        <v>363</v>
      </c>
      <c r="D241" s="139" t="s">
        <v>92</v>
      </c>
      <c r="E241" s="620"/>
      <c r="F241" s="31">
        <f>SUM(F237:F240)</f>
        <v>630</v>
      </c>
      <c r="G241" s="143">
        <f>I241/F241</f>
        <v>8.863492063492064</v>
      </c>
      <c r="H241" s="31">
        <f>SUM(H237:H240)</f>
        <v>24</v>
      </c>
      <c r="I241" s="31">
        <f>SUM(I237:I240)</f>
        <v>5584</v>
      </c>
    </row>
    <row r="242" spans="1:68" hidden="1" x14ac:dyDescent="0.25">
      <c r="A242" s="104">
        <v>1</v>
      </c>
      <c r="B242" s="109" t="s">
        <v>270</v>
      </c>
      <c r="C242" s="489" t="s">
        <v>363</v>
      </c>
      <c r="D242" s="26" t="s">
        <v>86</v>
      </c>
      <c r="E242" s="142"/>
      <c r="F242" s="29">
        <f>F241+F235</f>
        <v>1694</v>
      </c>
      <c r="G242" s="143">
        <f>I242/F242</f>
        <v>7.9161747343565523</v>
      </c>
      <c r="H242" s="29">
        <f>H235+H241</f>
        <v>51</v>
      </c>
      <c r="I242" s="29">
        <f>I235+I241</f>
        <v>13410</v>
      </c>
    </row>
    <row r="243" spans="1:68" s="598" customFormat="1" hidden="1" x14ac:dyDescent="0.25">
      <c r="A243" s="104">
        <v>1</v>
      </c>
      <c r="B243" s="109" t="s">
        <v>270</v>
      </c>
      <c r="C243" s="489" t="s">
        <v>363</v>
      </c>
      <c r="D243" s="611" t="s">
        <v>220</v>
      </c>
      <c r="E243" s="612"/>
      <c r="F243" s="612"/>
      <c r="G243" s="612"/>
      <c r="H243" s="612"/>
      <c r="I243" s="612"/>
      <c r="J243" s="597"/>
      <c r="K243" s="597"/>
      <c r="L243" s="597"/>
      <c r="M243" s="597"/>
      <c r="N243" s="597"/>
      <c r="O243" s="597"/>
      <c r="P243" s="597"/>
      <c r="Q243" s="597"/>
      <c r="R243" s="597"/>
      <c r="S243" s="597"/>
      <c r="T243" s="597"/>
      <c r="U243" s="597"/>
      <c r="V243" s="597"/>
      <c r="W243" s="597"/>
      <c r="X243" s="597"/>
      <c r="Y243" s="597"/>
      <c r="Z243" s="597"/>
      <c r="AA243" s="597"/>
      <c r="AB243" s="597"/>
      <c r="AC243" s="597"/>
      <c r="AD243" s="597"/>
      <c r="AE243" s="597"/>
      <c r="AF243" s="597"/>
      <c r="AG243" s="597"/>
      <c r="AH243" s="597"/>
      <c r="AI243" s="597"/>
      <c r="AJ243" s="597"/>
      <c r="AK243" s="597"/>
      <c r="AL243" s="597"/>
      <c r="AM243" s="597"/>
      <c r="AN243" s="597"/>
      <c r="AO243" s="597"/>
      <c r="AP243" s="597"/>
      <c r="AQ243" s="597"/>
      <c r="AR243" s="597"/>
      <c r="AS243" s="597"/>
      <c r="AT243" s="597"/>
      <c r="AU243" s="597"/>
      <c r="AV243" s="597"/>
      <c r="AW243" s="597"/>
      <c r="AX243" s="597"/>
      <c r="AY243" s="597"/>
      <c r="AZ243" s="597"/>
      <c r="BA243" s="597"/>
      <c r="BB243" s="597"/>
      <c r="BC243" s="597"/>
      <c r="BD243" s="597"/>
      <c r="BE243" s="597"/>
      <c r="BF243" s="597"/>
      <c r="BG243" s="597"/>
      <c r="BH243" s="597"/>
      <c r="BI243" s="597"/>
      <c r="BJ243" s="597"/>
      <c r="BK243" s="597"/>
      <c r="BL243" s="597"/>
      <c r="BM243" s="597"/>
      <c r="BN243" s="597"/>
      <c r="BO243" s="597"/>
      <c r="BP243" s="597"/>
    </row>
    <row r="244" spans="1:68" hidden="1" x14ac:dyDescent="0.25">
      <c r="A244" s="104">
        <v>1</v>
      </c>
      <c r="C244" s="489" t="s">
        <v>363</v>
      </c>
      <c r="D244" s="621"/>
      <c r="E244" s="596"/>
      <c r="F244" s="2"/>
      <c r="G244" s="2"/>
      <c r="H244" s="2"/>
      <c r="I244" s="2"/>
    </row>
    <row r="245" spans="1:68" ht="31.5" hidden="1" x14ac:dyDescent="0.25">
      <c r="A245" s="104">
        <v>1</v>
      </c>
      <c r="B245" s="109" t="s">
        <v>271</v>
      </c>
      <c r="C245" s="489" t="s">
        <v>363</v>
      </c>
      <c r="D245" s="678" t="s">
        <v>407</v>
      </c>
      <c r="E245" s="600"/>
      <c r="F245" s="2"/>
      <c r="G245" s="2"/>
      <c r="H245" s="2"/>
      <c r="I245" s="2"/>
    </row>
    <row r="246" spans="1:68" hidden="1" x14ac:dyDescent="0.25">
      <c r="A246" s="104">
        <v>1</v>
      </c>
      <c r="B246" s="109" t="s">
        <v>271</v>
      </c>
      <c r="C246" s="489" t="s">
        <v>363</v>
      </c>
      <c r="D246" s="112" t="s">
        <v>4</v>
      </c>
      <c r="E246" s="600"/>
      <c r="F246" s="2"/>
      <c r="G246" s="2"/>
      <c r="H246" s="2"/>
      <c r="I246" s="2"/>
    </row>
    <row r="247" spans="1:68" hidden="1" x14ac:dyDescent="0.25">
      <c r="A247" s="104">
        <v>1</v>
      </c>
      <c r="B247" s="109" t="s">
        <v>271</v>
      </c>
      <c r="C247" s="489" t="s">
        <v>363</v>
      </c>
      <c r="D247" s="117" t="s">
        <v>57</v>
      </c>
      <c r="E247" s="354">
        <v>340</v>
      </c>
      <c r="F247" s="2">
        <v>260</v>
      </c>
      <c r="G247" s="355">
        <v>10</v>
      </c>
      <c r="H247" s="2">
        <f>I247/E247</f>
        <v>7.6470588235294121</v>
      </c>
      <c r="I247" s="2">
        <f t="shared" ref="I247:I262" si="6">ROUND(F247*G247,0)</f>
        <v>2600</v>
      </c>
    </row>
    <row r="248" spans="1:68" hidden="1" x14ac:dyDescent="0.25">
      <c r="A248" s="104">
        <v>1</v>
      </c>
      <c r="B248" s="109" t="s">
        <v>271</v>
      </c>
      <c r="C248" s="489" t="s">
        <v>363</v>
      </c>
      <c r="D248" s="117" t="s">
        <v>47</v>
      </c>
      <c r="E248" s="354">
        <v>300</v>
      </c>
      <c r="F248" s="2">
        <v>1300</v>
      </c>
      <c r="G248" s="355">
        <v>6.3</v>
      </c>
      <c r="H248" s="2">
        <f t="shared" ref="H248:H262" si="7">I248/E248</f>
        <v>27.3</v>
      </c>
      <c r="I248" s="2">
        <f t="shared" si="6"/>
        <v>8190</v>
      </c>
    </row>
    <row r="249" spans="1:68" hidden="1" x14ac:dyDescent="0.25">
      <c r="B249" s="109"/>
      <c r="C249" s="489" t="s">
        <v>363</v>
      </c>
      <c r="D249" s="117" t="s">
        <v>25</v>
      </c>
      <c r="E249" s="354">
        <v>340</v>
      </c>
      <c r="F249" s="2">
        <v>821</v>
      </c>
      <c r="G249" s="355">
        <v>14</v>
      </c>
      <c r="H249" s="2">
        <f t="shared" ref="H249" si="8">I249/E249</f>
        <v>33.805882352941175</v>
      </c>
      <c r="I249" s="2">
        <f t="shared" ref="I249" si="9">ROUND(F249*G249,0)</f>
        <v>11494</v>
      </c>
    </row>
    <row r="250" spans="1:68" hidden="1" x14ac:dyDescent="0.25">
      <c r="A250" s="104">
        <v>1</v>
      </c>
      <c r="B250" s="109" t="s">
        <v>271</v>
      </c>
      <c r="C250" s="489" t="s">
        <v>363</v>
      </c>
      <c r="D250" s="117" t="s">
        <v>34</v>
      </c>
      <c r="E250" s="354">
        <v>340</v>
      </c>
      <c r="F250" s="2">
        <f>1330-56</f>
        <v>1274</v>
      </c>
      <c r="G250" s="355">
        <v>11</v>
      </c>
      <c r="H250" s="2">
        <f t="shared" si="7"/>
        <v>41.21764705882353</v>
      </c>
      <c r="I250" s="2">
        <f t="shared" si="6"/>
        <v>14014</v>
      </c>
    </row>
    <row r="251" spans="1:68" hidden="1" x14ac:dyDescent="0.25">
      <c r="A251" s="104">
        <v>1</v>
      </c>
      <c r="B251" s="109" t="s">
        <v>271</v>
      </c>
      <c r="C251" s="489" t="s">
        <v>363</v>
      </c>
      <c r="D251" s="46" t="s">
        <v>107</v>
      </c>
      <c r="E251" s="54">
        <v>300</v>
      </c>
      <c r="F251" s="2">
        <v>70</v>
      </c>
      <c r="G251" s="47">
        <v>15</v>
      </c>
      <c r="H251" s="2">
        <f t="shared" si="7"/>
        <v>3.5</v>
      </c>
      <c r="I251" s="2">
        <f t="shared" si="6"/>
        <v>1050</v>
      </c>
    </row>
    <row r="252" spans="1:68" hidden="1" x14ac:dyDescent="0.25">
      <c r="A252" s="104">
        <v>1</v>
      </c>
      <c r="B252" s="109" t="s">
        <v>271</v>
      </c>
      <c r="C252" s="489" t="s">
        <v>363</v>
      </c>
      <c r="D252" s="117" t="s">
        <v>55</v>
      </c>
      <c r="E252" s="354">
        <v>340</v>
      </c>
      <c r="F252" s="2">
        <v>1498</v>
      </c>
      <c r="G252" s="355">
        <v>8.6</v>
      </c>
      <c r="H252" s="2">
        <f t="shared" si="7"/>
        <v>37.891176470588235</v>
      </c>
      <c r="I252" s="2">
        <f t="shared" si="6"/>
        <v>12883</v>
      </c>
    </row>
    <row r="253" spans="1:68" hidden="1" x14ac:dyDescent="0.25">
      <c r="A253" s="104">
        <v>1</v>
      </c>
      <c r="B253" s="109" t="s">
        <v>271</v>
      </c>
      <c r="C253" s="489" t="s">
        <v>363</v>
      </c>
      <c r="D253" s="117" t="s">
        <v>46</v>
      </c>
      <c r="E253" s="354">
        <v>340</v>
      </c>
      <c r="F253" s="2">
        <v>711</v>
      </c>
      <c r="G253" s="355">
        <v>11</v>
      </c>
      <c r="H253" s="2">
        <f t="shared" si="7"/>
        <v>23.002941176470589</v>
      </c>
      <c r="I253" s="2">
        <f t="shared" si="6"/>
        <v>7821</v>
      </c>
    </row>
    <row r="254" spans="1:68" hidden="1" x14ac:dyDescent="0.25">
      <c r="A254" s="104">
        <v>1</v>
      </c>
      <c r="B254" s="109" t="s">
        <v>271</v>
      </c>
      <c r="C254" s="489" t="s">
        <v>363</v>
      </c>
      <c r="D254" s="117" t="s">
        <v>38</v>
      </c>
      <c r="E254" s="354">
        <v>340</v>
      </c>
      <c r="F254" s="2">
        <v>290</v>
      </c>
      <c r="G254" s="355">
        <v>12.5</v>
      </c>
      <c r="H254" s="2">
        <f t="shared" si="7"/>
        <v>10.661764705882353</v>
      </c>
      <c r="I254" s="2">
        <f t="shared" si="6"/>
        <v>3625</v>
      </c>
    </row>
    <row r="255" spans="1:68" hidden="1" x14ac:dyDescent="0.25">
      <c r="A255" s="104">
        <v>1</v>
      </c>
      <c r="B255" s="109" t="s">
        <v>271</v>
      </c>
      <c r="C255" s="489" t="s">
        <v>363</v>
      </c>
      <c r="D255" s="117" t="s">
        <v>22</v>
      </c>
      <c r="E255" s="115">
        <v>340</v>
      </c>
      <c r="F255" s="2">
        <v>1520</v>
      </c>
      <c r="G255" s="622">
        <v>7.3</v>
      </c>
      <c r="H255" s="2">
        <f t="shared" si="7"/>
        <v>32.635294117647057</v>
      </c>
      <c r="I255" s="2">
        <f t="shared" si="6"/>
        <v>11096</v>
      </c>
    </row>
    <row r="256" spans="1:68" ht="30" hidden="1" x14ac:dyDescent="0.25">
      <c r="A256" s="104">
        <v>1</v>
      </c>
      <c r="B256" s="109" t="s">
        <v>271</v>
      </c>
      <c r="C256" s="489" t="s">
        <v>363</v>
      </c>
      <c r="D256" s="32" t="s">
        <v>79</v>
      </c>
      <c r="E256" s="354">
        <v>320</v>
      </c>
      <c r="F256" s="2">
        <v>351</v>
      </c>
      <c r="G256" s="623">
        <v>10</v>
      </c>
      <c r="H256" s="2">
        <f t="shared" si="7"/>
        <v>10.96875</v>
      </c>
      <c r="I256" s="2">
        <f t="shared" si="6"/>
        <v>3510</v>
      </c>
    </row>
    <row r="257" spans="1:10" hidden="1" x14ac:dyDescent="0.25">
      <c r="A257" s="104">
        <v>1</v>
      </c>
      <c r="B257" s="109" t="s">
        <v>271</v>
      </c>
      <c r="C257" s="489" t="s">
        <v>363</v>
      </c>
      <c r="D257" s="117" t="s">
        <v>35</v>
      </c>
      <c r="E257" s="354">
        <v>340</v>
      </c>
      <c r="F257" s="2">
        <v>1008</v>
      </c>
      <c r="G257" s="355">
        <v>10.6</v>
      </c>
      <c r="H257" s="2">
        <f t="shared" si="7"/>
        <v>31.426470588235293</v>
      </c>
      <c r="I257" s="2">
        <f t="shared" si="6"/>
        <v>10685</v>
      </c>
    </row>
    <row r="258" spans="1:10" hidden="1" x14ac:dyDescent="0.25">
      <c r="A258" s="104">
        <v>1</v>
      </c>
      <c r="B258" s="109" t="s">
        <v>271</v>
      </c>
      <c r="C258" s="489" t="s">
        <v>363</v>
      </c>
      <c r="D258" s="117" t="s">
        <v>56</v>
      </c>
      <c r="E258" s="354">
        <v>340</v>
      </c>
      <c r="F258" s="2">
        <v>1480</v>
      </c>
      <c r="G258" s="355">
        <v>10.8</v>
      </c>
      <c r="H258" s="2">
        <f t="shared" si="7"/>
        <v>47.011764705882356</v>
      </c>
      <c r="I258" s="2">
        <f t="shared" si="6"/>
        <v>15984</v>
      </c>
    </row>
    <row r="259" spans="1:10" hidden="1" x14ac:dyDescent="0.25">
      <c r="A259" s="104">
        <v>1</v>
      </c>
      <c r="B259" s="109" t="s">
        <v>271</v>
      </c>
      <c r="C259" s="489" t="s">
        <v>363</v>
      </c>
      <c r="D259" s="117" t="s">
        <v>10</v>
      </c>
      <c r="E259" s="354">
        <v>340</v>
      </c>
      <c r="F259" s="2">
        <v>1504</v>
      </c>
      <c r="G259" s="355">
        <v>8.6</v>
      </c>
      <c r="H259" s="2">
        <f t="shared" si="7"/>
        <v>38.041176470588233</v>
      </c>
      <c r="I259" s="2">
        <f t="shared" si="6"/>
        <v>12934</v>
      </c>
    </row>
    <row r="260" spans="1:10" hidden="1" x14ac:dyDescent="0.25">
      <c r="A260" s="104">
        <v>1</v>
      </c>
      <c r="B260" s="109" t="s">
        <v>271</v>
      </c>
      <c r="C260" s="489" t="s">
        <v>363</v>
      </c>
      <c r="D260" s="117" t="s">
        <v>44</v>
      </c>
      <c r="E260" s="354">
        <v>340</v>
      </c>
      <c r="F260" s="2">
        <v>970</v>
      </c>
      <c r="G260" s="355">
        <v>10.6</v>
      </c>
      <c r="H260" s="2">
        <f t="shared" si="7"/>
        <v>30.241176470588236</v>
      </c>
      <c r="I260" s="2">
        <f t="shared" si="6"/>
        <v>10282</v>
      </c>
    </row>
    <row r="261" spans="1:10" hidden="1" x14ac:dyDescent="0.25">
      <c r="A261" s="104">
        <v>1</v>
      </c>
      <c r="B261" s="109" t="s">
        <v>271</v>
      </c>
      <c r="C261" s="489" t="s">
        <v>363</v>
      </c>
      <c r="D261" s="117" t="s">
        <v>75</v>
      </c>
      <c r="E261" s="354">
        <v>340</v>
      </c>
      <c r="F261" s="2">
        <v>255</v>
      </c>
      <c r="G261" s="355">
        <v>7</v>
      </c>
      <c r="H261" s="2">
        <f t="shared" si="7"/>
        <v>5.25</v>
      </c>
      <c r="I261" s="2">
        <f t="shared" si="6"/>
        <v>1785</v>
      </c>
    </row>
    <row r="262" spans="1:10" hidden="1" x14ac:dyDescent="0.25">
      <c r="A262" s="104">
        <v>1</v>
      </c>
      <c r="B262" s="109" t="s">
        <v>271</v>
      </c>
      <c r="C262" s="489" t="s">
        <v>363</v>
      </c>
      <c r="D262" s="117" t="s">
        <v>45</v>
      </c>
      <c r="E262" s="354">
        <v>340</v>
      </c>
      <c r="F262" s="2">
        <v>258</v>
      </c>
      <c r="G262" s="355">
        <v>11</v>
      </c>
      <c r="H262" s="2">
        <f t="shared" si="7"/>
        <v>8.3470588235294123</v>
      </c>
      <c r="I262" s="2">
        <f t="shared" si="6"/>
        <v>2838</v>
      </c>
    </row>
    <row r="263" spans="1:10" s="124" customFormat="1" hidden="1" x14ac:dyDescent="0.25">
      <c r="A263" s="104">
        <v>1</v>
      </c>
      <c r="B263" s="109" t="s">
        <v>271</v>
      </c>
      <c r="C263" s="489" t="s">
        <v>363</v>
      </c>
      <c r="D263" s="589" t="s">
        <v>5</v>
      </c>
      <c r="E263" s="190"/>
      <c r="F263" s="29">
        <f>SUM(F247:F262)</f>
        <v>13570</v>
      </c>
      <c r="G263" s="143">
        <f>I263/F263</f>
        <v>9.6382461311717016</v>
      </c>
      <c r="H263" s="29">
        <f>SUM(H247:H262)</f>
        <v>388.9481617647059</v>
      </c>
      <c r="I263" s="29">
        <f>SUM(I247:I262)</f>
        <v>130791</v>
      </c>
      <c r="J263" s="191">
        <f>F263-F264</f>
        <v>13361</v>
      </c>
    </row>
    <row r="264" spans="1:10" s="124" customFormat="1" hidden="1" x14ac:dyDescent="0.25">
      <c r="A264" s="104"/>
      <c r="B264" s="109" t="s">
        <v>271</v>
      </c>
      <c r="C264" s="489" t="s">
        <v>363</v>
      </c>
      <c r="D264" s="120" t="s">
        <v>213</v>
      </c>
      <c r="E264" s="190"/>
      <c r="F264" s="29">
        <f>265-56</f>
        <v>209</v>
      </c>
      <c r="G264" s="143"/>
      <c r="H264" s="29"/>
      <c r="I264" s="29"/>
    </row>
    <row r="265" spans="1:10" s="58" customFormat="1" ht="60" hidden="1" x14ac:dyDescent="0.25">
      <c r="A265" s="104">
        <v>1</v>
      </c>
      <c r="B265" s="109" t="s">
        <v>271</v>
      </c>
      <c r="C265" s="489" t="s">
        <v>363</v>
      </c>
      <c r="D265" s="101" t="s">
        <v>294</v>
      </c>
      <c r="E265" s="12"/>
      <c r="F265" s="84"/>
      <c r="G265" s="57"/>
      <c r="H265" s="57"/>
      <c r="I265" s="57"/>
    </row>
    <row r="266" spans="1:10" s="58" customFormat="1" hidden="1" x14ac:dyDescent="0.25">
      <c r="A266" s="104"/>
      <c r="B266" s="109" t="s">
        <v>271</v>
      </c>
      <c r="C266" s="489" t="s">
        <v>363</v>
      </c>
      <c r="D266" s="14" t="s">
        <v>187</v>
      </c>
      <c r="E266" s="12"/>
      <c r="F266" s="84">
        <f>F268+F269+F271+F273</f>
        <v>64560</v>
      </c>
      <c r="G266" s="57"/>
      <c r="H266" s="57"/>
      <c r="I266" s="57"/>
    </row>
    <row r="267" spans="1:10" s="58" customFormat="1" hidden="1" x14ac:dyDescent="0.25">
      <c r="A267" s="104"/>
      <c r="B267" s="109" t="s">
        <v>271</v>
      </c>
      <c r="C267" s="489" t="s">
        <v>363</v>
      </c>
      <c r="D267" s="18" t="s">
        <v>113</v>
      </c>
      <c r="E267" s="12"/>
      <c r="F267" s="84"/>
      <c r="G267" s="57"/>
      <c r="H267" s="57"/>
      <c r="I267" s="57"/>
    </row>
    <row r="268" spans="1:10" s="58" customFormat="1" ht="30" hidden="1" x14ac:dyDescent="0.25">
      <c r="A268" s="104"/>
      <c r="B268" s="109" t="s">
        <v>271</v>
      </c>
      <c r="C268" s="489" t="s">
        <v>363</v>
      </c>
      <c r="D268" s="18" t="s">
        <v>114</v>
      </c>
      <c r="E268" s="12"/>
      <c r="F268" s="65">
        <v>25470</v>
      </c>
      <c r="G268" s="57"/>
      <c r="H268" s="57"/>
      <c r="I268" s="57"/>
    </row>
    <row r="269" spans="1:10" s="58" customFormat="1" ht="30" hidden="1" x14ac:dyDescent="0.25">
      <c r="A269" s="104"/>
      <c r="B269" s="109" t="s">
        <v>271</v>
      </c>
      <c r="C269" s="489" t="s">
        <v>363</v>
      </c>
      <c r="D269" s="16" t="s">
        <v>361</v>
      </c>
      <c r="E269" s="12"/>
      <c r="F269" s="65">
        <v>13150</v>
      </c>
      <c r="G269" s="57"/>
      <c r="H269" s="57"/>
      <c r="I269" s="57"/>
    </row>
    <row r="270" spans="1:10" s="58" customFormat="1" ht="45" hidden="1" x14ac:dyDescent="0.25">
      <c r="A270" s="104"/>
      <c r="B270" s="109" t="s">
        <v>271</v>
      </c>
      <c r="C270" s="489" t="s">
        <v>363</v>
      </c>
      <c r="D270" s="15" t="s">
        <v>219</v>
      </c>
      <c r="E270" s="12"/>
      <c r="F270" s="84"/>
      <c r="G270" s="57"/>
      <c r="H270" s="57"/>
      <c r="I270" s="57"/>
    </row>
    <row r="271" spans="1:10" s="58" customFormat="1" ht="45" hidden="1" x14ac:dyDescent="0.25">
      <c r="A271" s="104"/>
      <c r="B271" s="109" t="s">
        <v>271</v>
      </c>
      <c r="C271" s="489" t="s">
        <v>363</v>
      </c>
      <c r="D271" s="15" t="s">
        <v>188</v>
      </c>
      <c r="E271" s="12"/>
      <c r="F271" s="65">
        <v>20800</v>
      </c>
      <c r="G271" s="57"/>
      <c r="H271" s="57"/>
      <c r="I271" s="57"/>
    </row>
    <row r="272" spans="1:10" s="58" customFormat="1" ht="75" hidden="1" x14ac:dyDescent="0.25">
      <c r="A272" s="104"/>
      <c r="B272" s="109"/>
      <c r="C272" s="489" t="s">
        <v>363</v>
      </c>
      <c r="D272" s="15" t="s">
        <v>353</v>
      </c>
      <c r="E272" s="12"/>
      <c r="F272" s="65">
        <v>15000</v>
      </c>
      <c r="G272" s="57"/>
      <c r="H272" s="57"/>
      <c r="I272" s="57"/>
    </row>
    <row r="273" spans="1:9" s="58" customFormat="1" ht="30" hidden="1" x14ac:dyDescent="0.25">
      <c r="A273" s="104"/>
      <c r="B273" s="109"/>
      <c r="C273" s="489" t="s">
        <v>363</v>
      </c>
      <c r="D273" s="15" t="s">
        <v>293</v>
      </c>
      <c r="E273" s="12"/>
      <c r="F273" s="65">
        <v>5140</v>
      </c>
      <c r="G273" s="57"/>
      <c r="H273" s="57"/>
      <c r="I273" s="57"/>
    </row>
    <row r="274" spans="1:9" s="58" customFormat="1" hidden="1" x14ac:dyDescent="0.25">
      <c r="A274" s="104"/>
      <c r="B274" s="109" t="s">
        <v>271</v>
      </c>
      <c r="C274" s="489" t="s">
        <v>363</v>
      </c>
      <c r="D274" s="60" t="s">
        <v>88</v>
      </c>
      <c r="E274" s="12"/>
      <c r="F274" s="84">
        <v>80010</v>
      </c>
      <c r="G274" s="57"/>
      <c r="H274" s="57"/>
      <c r="I274" s="57"/>
    </row>
    <row r="275" spans="1:9" s="58" customFormat="1" hidden="1" x14ac:dyDescent="0.25">
      <c r="A275" s="104"/>
      <c r="B275" s="109" t="s">
        <v>271</v>
      </c>
      <c r="C275" s="489" t="s">
        <v>363</v>
      </c>
      <c r="D275" s="19" t="s">
        <v>145</v>
      </c>
      <c r="E275" s="12"/>
      <c r="F275" s="65">
        <v>80010</v>
      </c>
      <c r="G275" s="57"/>
      <c r="H275" s="57"/>
      <c r="I275" s="57"/>
    </row>
    <row r="276" spans="1:9" s="58" customFormat="1" ht="47.25" hidden="1" x14ac:dyDescent="0.25">
      <c r="A276" s="104"/>
      <c r="B276" s="109" t="s">
        <v>271</v>
      </c>
      <c r="C276" s="489" t="s">
        <v>363</v>
      </c>
      <c r="D276" s="61" t="s">
        <v>283</v>
      </c>
      <c r="E276" s="12"/>
      <c r="F276" s="84">
        <f>F277+F282</f>
        <v>21204</v>
      </c>
      <c r="G276" s="57"/>
      <c r="H276" s="57"/>
      <c r="I276" s="57"/>
    </row>
    <row r="277" spans="1:9" s="58" customFormat="1" ht="30" hidden="1" x14ac:dyDescent="0.25">
      <c r="A277" s="104"/>
      <c r="B277" s="109" t="s">
        <v>271</v>
      </c>
      <c r="C277" s="489" t="s">
        <v>363</v>
      </c>
      <c r="D277" s="16" t="s">
        <v>189</v>
      </c>
      <c r="E277" s="12"/>
      <c r="F277" s="65">
        <f>SUM(F278:F281)</f>
        <v>15576</v>
      </c>
      <c r="G277" s="57"/>
      <c r="H277" s="57"/>
      <c r="I277" s="57"/>
    </row>
    <row r="278" spans="1:9" s="58" customFormat="1" ht="30" hidden="1" x14ac:dyDescent="0.25">
      <c r="A278" s="104"/>
      <c r="B278" s="109" t="s">
        <v>271</v>
      </c>
      <c r="C278" s="489" t="s">
        <v>363</v>
      </c>
      <c r="D278" s="15" t="s">
        <v>190</v>
      </c>
      <c r="E278" s="12"/>
      <c r="F278" s="65">
        <v>15576</v>
      </c>
      <c r="G278" s="57"/>
      <c r="H278" s="57"/>
      <c r="I278" s="57"/>
    </row>
    <row r="279" spans="1:9" s="58" customFormat="1" ht="45" hidden="1" x14ac:dyDescent="0.25">
      <c r="A279" s="104"/>
      <c r="B279" s="109" t="s">
        <v>271</v>
      </c>
      <c r="C279" s="489" t="s">
        <v>363</v>
      </c>
      <c r="D279" s="15" t="s">
        <v>191</v>
      </c>
      <c r="E279" s="12"/>
      <c r="F279" s="84"/>
      <c r="G279" s="57"/>
      <c r="H279" s="57"/>
      <c r="I279" s="57"/>
    </row>
    <row r="280" spans="1:9" s="58" customFormat="1" ht="30" hidden="1" x14ac:dyDescent="0.25">
      <c r="A280" s="104"/>
      <c r="B280" s="109" t="s">
        <v>271</v>
      </c>
      <c r="C280" s="489" t="s">
        <v>363</v>
      </c>
      <c r="D280" s="15" t="s">
        <v>192</v>
      </c>
      <c r="E280" s="12"/>
      <c r="F280" s="84"/>
      <c r="G280" s="57"/>
      <c r="H280" s="57"/>
      <c r="I280" s="57"/>
    </row>
    <row r="281" spans="1:9" s="58" customFormat="1" ht="30" hidden="1" x14ac:dyDescent="0.25">
      <c r="A281" s="104"/>
      <c r="B281" s="109" t="s">
        <v>271</v>
      </c>
      <c r="C281" s="489" t="s">
        <v>363</v>
      </c>
      <c r="D281" s="15" t="s">
        <v>193</v>
      </c>
      <c r="E281" s="12"/>
      <c r="F281" s="84"/>
      <c r="G281" s="57"/>
      <c r="H281" s="57"/>
      <c r="I281" s="57"/>
    </row>
    <row r="282" spans="1:9" s="58" customFormat="1" ht="30" hidden="1" x14ac:dyDescent="0.25">
      <c r="A282" s="104"/>
      <c r="B282" s="109" t="s">
        <v>271</v>
      </c>
      <c r="C282" s="489" t="s">
        <v>363</v>
      </c>
      <c r="D282" s="16" t="s">
        <v>194</v>
      </c>
      <c r="E282" s="12"/>
      <c r="F282" s="84">
        <f>SUM(F283:F285)</f>
        <v>5628</v>
      </c>
      <c r="G282" s="57"/>
      <c r="H282" s="57"/>
      <c r="I282" s="57"/>
    </row>
    <row r="283" spans="1:9" s="58" customFormat="1" ht="30" hidden="1" x14ac:dyDescent="0.25">
      <c r="A283" s="104">
        <v>1</v>
      </c>
      <c r="B283" s="109" t="s">
        <v>271</v>
      </c>
      <c r="C283" s="489" t="s">
        <v>363</v>
      </c>
      <c r="D283" s="15" t="s">
        <v>195</v>
      </c>
      <c r="E283" s="62"/>
      <c r="F283" s="57">
        <v>5628</v>
      </c>
      <c r="G283" s="57"/>
      <c r="H283" s="57"/>
      <c r="I283" s="57"/>
    </row>
    <row r="284" spans="1:9" s="58" customFormat="1" ht="45" hidden="1" x14ac:dyDescent="0.25">
      <c r="A284" s="104">
        <v>1</v>
      </c>
      <c r="B284" s="109" t="s">
        <v>271</v>
      </c>
      <c r="C284" s="489" t="s">
        <v>363</v>
      </c>
      <c r="D284" s="15" t="s">
        <v>196</v>
      </c>
      <c r="E284" s="62"/>
      <c r="F284" s="57"/>
      <c r="G284" s="57"/>
      <c r="H284" s="57"/>
      <c r="I284" s="57"/>
    </row>
    <row r="285" spans="1:9" s="58" customFormat="1" ht="45" hidden="1" x14ac:dyDescent="0.25">
      <c r="A285" s="104">
        <v>1</v>
      </c>
      <c r="B285" s="109" t="s">
        <v>271</v>
      </c>
      <c r="C285" s="489" t="s">
        <v>363</v>
      </c>
      <c r="D285" s="15" t="s">
        <v>197</v>
      </c>
      <c r="E285" s="62"/>
      <c r="F285" s="2"/>
      <c r="G285" s="57"/>
      <c r="H285" s="57"/>
      <c r="I285" s="57"/>
    </row>
    <row r="286" spans="1:9" s="58" customFormat="1" ht="29.25" hidden="1" customHeight="1" x14ac:dyDescent="0.25">
      <c r="A286" s="104"/>
      <c r="B286" s="109"/>
      <c r="C286" s="489" t="s">
        <v>363</v>
      </c>
      <c r="D286" s="12" t="s">
        <v>96</v>
      </c>
      <c r="E286" s="62"/>
      <c r="F286" s="2"/>
      <c r="G286" s="57"/>
      <c r="H286" s="57"/>
      <c r="I286" s="57"/>
    </row>
    <row r="287" spans="1:9" s="58" customFormat="1" hidden="1" x14ac:dyDescent="0.25">
      <c r="A287" s="104">
        <v>1</v>
      </c>
      <c r="B287" s="109" t="s">
        <v>271</v>
      </c>
      <c r="C287" s="489" t="s">
        <v>363</v>
      </c>
      <c r="D287" s="14" t="s">
        <v>296</v>
      </c>
      <c r="E287" s="62"/>
      <c r="F287" s="29">
        <f>F289+F294+F293+F295+F296</f>
        <v>4912</v>
      </c>
      <c r="G287" s="57"/>
      <c r="H287" s="57"/>
      <c r="I287" s="57"/>
    </row>
    <row r="288" spans="1:9" s="58" customFormat="1" hidden="1" x14ac:dyDescent="0.25">
      <c r="A288" s="104">
        <v>1</v>
      </c>
      <c r="B288" s="109" t="s">
        <v>271</v>
      </c>
      <c r="C288" s="489" t="s">
        <v>363</v>
      </c>
      <c r="D288" s="15" t="s">
        <v>297</v>
      </c>
      <c r="E288" s="62"/>
      <c r="F288" s="2"/>
      <c r="G288" s="57"/>
      <c r="H288" s="57"/>
      <c r="I288" s="57"/>
    </row>
    <row r="289" spans="1:10" s="58" customFormat="1" ht="30" hidden="1" x14ac:dyDescent="0.25">
      <c r="A289" s="104">
        <v>1</v>
      </c>
      <c r="B289" s="109" t="s">
        <v>271</v>
      </c>
      <c r="C289" s="489" t="s">
        <v>363</v>
      </c>
      <c r="D289" s="16" t="s">
        <v>298</v>
      </c>
      <c r="E289" s="62"/>
      <c r="F289" s="10">
        <f>F290</f>
        <v>0</v>
      </c>
      <c r="G289" s="57"/>
      <c r="H289" s="57"/>
      <c r="I289" s="57"/>
    </row>
    <row r="290" spans="1:10" s="124" customFormat="1" hidden="1" x14ac:dyDescent="0.25">
      <c r="A290" s="104"/>
      <c r="B290" s="109" t="s">
        <v>271</v>
      </c>
      <c r="C290" s="489" t="s">
        <v>363</v>
      </c>
      <c r="D290" s="15" t="s">
        <v>299</v>
      </c>
      <c r="E290" s="13"/>
      <c r="F290" s="17"/>
      <c r="G290" s="10"/>
      <c r="H290" s="10"/>
      <c r="I290" s="10"/>
      <c r="J290" s="58"/>
    </row>
    <row r="291" spans="1:10" s="124" customFormat="1" ht="30" hidden="1" x14ac:dyDescent="0.25">
      <c r="A291" s="104">
        <v>1</v>
      </c>
      <c r="B291" s="109" t="s">
        <v>271</v>
      </c>
      <c r="C291" s="489" t="s">
        <v>363</v>
      </c>
      <c r="D291" s="15" t="s">
        <v>300</v>
      </c>
      <c r="E291" s="13"/>
      <c r="F291" s="2"/>
      <c r="G291" s="2"/>
      <c r="H291" s="2"/>
      <c r="I291" s="2"/>
      <c r="J291" s="58"/>
    </row>
    <row r="292" spans="1:10" s="58" customFormat="1" ht="45" hidden="1" x14ac:dyDescent="0.25">
      <c r="A292" s="104">
        <v>1</v>
      </c>
      <c r="B292" s="109" t="s">
        <v>271</v>
      </c>
      <c r="C292" s="489" t="s">
        <v>363</v>
      </c>
      <c r="D292" s="15" t="s">
        <v>301</v>
      </c>
      <c r="E292" s="281"/>
      <c r="F292" s="2"/>
      <c r="G292" s="57"/>
      <c r="H292" s="57"/>
      <c r="I292" s="57"/>
    </row>
    <row r="293" spans="1:10" s="58" customFormat="1" ht="45" hidden="1" x14ac:dyDescent="0.25">
      <c r="A293" s="104">
        <v>1</v>
      </c>
      <c r="B293" s="109" t="s">
        <v>271</v>
      </c>
      <c r="C293" s="489" t="s">
        <v>363</v>
      </c>
      <c r="D293" s="15" t="s">
        <v>309</v>
      </c>
      <c r="E293" s="13"/>
      <c r="F293" s="2"/>
      <c r="G293" s="65"/>
      <c r="H293" s="65"/>
      <c r="I293" s="65"/>
    </row>
    <row r="294" spans="1:10" s="58" customFormat="1" ht="45" hidden="1" x14ac:dyDescent="0.25">
      <c r="A294" s="104">
        <v>1</v>
      </c>
      <c r="B294" s="109" t="s">
        <v>271</v>
      </c>
      <c r="C294" s="489" t="s">
        <v>363</v>
      </c>
      <c r="D294" s="18" t="s">
        <v>310</v>
      </c>
      <c r="E294" s="13"/>
      <c r="F294" s="2">
        <v>1300</v>
      </c>
      <c r="G294" s="65"/>
      <c r="H294" s="65"/>
      <c r="I294" s="65"/>
    </row>
    <row r="295" spans="1:10" s="58" customFormat="1" ht="75" hidden="1" x14ac:dyDescent="0.25">
      <c r="A295" s="53"/>
      <c r="B295" s="109"/>
      <c r="C295" s="489" t="s">
        <v>363</v>
      </c>
      <c r="D295" s="18" t="s">
        <v>354</v>
      </c>
      <c r="E295" s="13"/>
      <c r="F295" s="55">
        <v>50</v>
      </c>
      <c r="G295" s="65"/>
      <c r="H295" s="65"/>
      <c r="I295" s="43"/>
      <c r="J295" s="52"/>
    </row>
    <row r="296" spans="1:10" s="58" customFormat="1" ht="28.5" hidden="1" x14ac:dyDescent="0.25">
      <c r="A296" s="53"/>
      <c r="B296" s="109"/>
      <c r="C296" s="489" t="s">
        <v>363</v>
      </c>
      <c r="D296" s="66" t="s">
        <v>344</v>
      </c>
      <c r="E296" s="13"/>
      <c r="F296" s="55">
        <f>F297</f>
        <v>3562</v>
      </c>
      <c r="G296" s="59"/>
      <c r="H296" s="59"/>
      <c r="I296" s="81"/>
      <c r="J296" s="52"/>
    </row>
    <row r="297" spans="1:10" s="58" customFormat="1" hidden="1" x14ac:dyDescent="0.25">
      <c r="A297" s="53"/>
      <c r="B297" s="109"/>
      <c r="C297" s="489" t="s">
        <v>363</v>
      </c>
      <c r="D297" s="18" t="s">
        <v>345</v>
      </c>
      <c r="E297" s="13"/>
      <c r="F297" s="55">
        <v>3562</v>
      </c>
      <c r="G297" s="59"/>
      <c r="H297" s="59"/>
      <c r="I297" s="81"/>
      <c r="J297" s="52"/>
    </row>
    <row r="298" spans="1:10" s="58" customFormat="1" ht="28.5" hidden="1" x14ac:dyDescent="0.25">
      <c r="A298" s="53"/>
      <c r="B298" s="109"/>
      <c r="C298" s="489" t="s">
        <v>363</v>
      </c>
      <c r="D298" s="66" t="s">
        <v>346</v>
      </c>
      <c r="E298" s="13"/>
      <c r="F298" s="55"/>
      <c r="G298" s="59"/>
      <c r="H298" s="59"/>
      <c r="I298" s="81"/>
      <c r="J298" s="52"/>
    </row>
    <row r="299" spans="1:10" s="58" customFormat="1" hidden="1" x14ac:dyDescent="0.25">
      <c r="A299" s="104">
        <v>1</v>
      </c>
      <c r="B299" s="109" t="s">
        <v>271</v>
      </c>
      <c r="C299" s="489" t="s">
        <v>363</v>
      </c>
      <c r="D299" s="14" t="s">
        <v>303</v>
      </c>
      <c r="E299" s="13"/>
      <c r="F299" s="2">
        <f>F300</f>
        <v>500</v>
      </c>
      <c r="G299" s="65"/>
      <c r="H299" s="65"/>
      <c r="I299" s="65"/>
    </row>
    <row r="300" spans="1:10" s="58" customFormat="1" hidden="1" x14ac:dyDescent="0.25">
      <c r="A300" s="104">
        <v>1</v>
      </c>
      <c r="B300" s="109" t="s">
        <v>271</v>
      </c>
      <c r="C300" s="489" t="s">
        <v>363</v>
      </c>
      <c r="D300" s="14" t="s">
        <v>304</v>
      </c>
      <c r="E300" s="13"/>
      <c r="F300" s="57">
        <v>500</v>
      </c>
      <c r="G300" s="65"/>
      <c r="H300" s="65"/>
      <c r="I300" s="65"/>
    </row>
    <row r="301" spans="1:10" s="58" customFormat="1" hidden="1" x14ac:dyDescent="0.25">
      <c r="A301" s="104">
        <v>1</v>
      </c>
      <c r="B301" s="109" t="s">
        <v>271</v>
      </c>
      <c r="C301" s="489" t="s">
        <v>363</v>
      </c>
      <c r="D301" s="15" t="s">
        <v>305</v>
      </c>
      <c r="E301" s="13"/>
      <c r="F301" s="57"/>
      <c r="G301" s="65"/>
      <c r="H301" s="65"/>
      <c r="I301" s="65"/>
    </row>
    <row r="302" spans="1:10" s="58" customFormat="1" hidden="1" x14ac:dyDescent="0.25">
      <c r="A302" s="104">
        <v>1</v>
      </c>
      <c r="B302" s="109" t="s">
        <v>271</v>
      </c>
      <c r="C302" s="489" t="s">
        <v>363</v>
      </c>
      <c r="D302" s="42" t="s">
        <v>314</v>
      </c>
      <c r="E302" s="13"/>
      <c r="F302" s="57"/>
      <c r="G302" s="65"/>
      <c r="H302" s="65"/>
      <c r="I302" s="65"/>
    </row>
    <row r="303" spans="1:10" s="58" customFormat="1" ht="29.25" hidden="1" x14ac:dyDescent="0.25">
      <c r="A303" s="104">
        <v>1</v>
      </c>
      <c r="B303" s="109" t="s">
        <v>271</v>
      </c>
      <c r="C303" s="489" t="s">
        <v>363</v>
      </c>
      <c r="D303" s="14" t="s">
        <v>306</v>
      </c>
      <c r="E303" s="13"/>
      <c r="F303" s="57">
        <f>36600-F305</f>
        <v>23600</v>
      </c>
      <c r="G303" s="65"/>
      <c r="H303" s="65"/>
      <c r="I303" s="65"/>
    </row>
    <row r="304" spans="1:10" s="58" customFormat="1" hidden="1" x14ac:dyDescent="0.25">
      <c r="A304" s="104">
        <v>1</v>
      </c>
      <c r="B304" s="109" t="s">
        <v>271</v>
      </c>
      <c r="C304" s="489" t="s">
        <v>363</v>
      </c>
      <c r="D304" s="19" t="s">
        <v>115</v>
      </c>
      <c r="E304" s="13"/>
      <c r="F304" s="57">
        <v>10000</v>
      </c>
      <c r="G304" s="65"/>
      <c r="H304" s="65"/>
      <c r="I304" s="65"/>
    </row>
    <row r="305" spans="1:9" s="58" customFormat="1" ht="57.75" hidden="1" x14ac:dyDescent="0.25">
      <c r="A305" s="104">
        <v>1</v>
      </c>
      <c r="B305" s="109" t="s">
        <v>271</v>
      </c>
      <c r="C305" s="489" t="s">
        <v>363</v>
      </c>
      <c r="D305" s="14" t="s">
        <v>307</v>
      </c>
      <c r="E305" s="13"/>
      <c r="F305" s="78">
        <v>13000</v>
      </c>
      <c r="G305" s="65"/>
      <c r="H305" s="65"/>
      <c r="I305" s="65"/>
    </row>
    <row r="306" spans="1:9" s="58" customFormat="1" hidden="1" x14ac:dyDescent="0.25">
      <c r="A306" s="104">
        <v>1</v>
      </c>
      <c r="B306" s="109" t="s">
        <v>271</v>
      </c>
      <c r="C306" s="489" t="s">
        <v>363</v>
      </c>
      <c r="D306" s="20" t="s">
        <v>158</v>
      </c>
      <c r="E306" s="13"/>
      <c r="F306" s="29">
        <f>SUM(F307:F314)</f>
        <v>12870</v>
      </c>
      <c r="G306" s="65"/>
      <c r="H306" s="65"/>
      <c r="I306" s="65"/>
    </row>
    <row r="307" spans="1:9" s="58" customFormat="1" hidden="1" x14ac:dyDescent="0.25">
      <c r="A307" s="104">
        <v>1</v>
      </c>
      <c r="B307" s="109" t="s">
        <v>271</v>
      </c>
      <c r="C307" s="489" t="s">
        <v>363</v>
      </c>
      <c r="D307" s="35" t="s">
        <v>17</v>
      </c>
      <c r="E307" s="13"/>
      <c r="F307" s="2">
        <v>3700</v>
      </c>
      <c r="G307" s="65"/>
      <c r="H307" s="65"/>
      <c r="I307" s="65"/>
    </row>
    <row r="308" spans="1:9" s="58" customFormat="1" ht="30" hidden="1" x14ac:dyDescent="0.25">
      <c r="A308" s="104">
        <v>1</v>
      </c>
      <c r="B308" s="109" t="s">
        <v>271</v>
      </c>
      <c r="C308" s="489" t="s">
        <v>363</v>
      </c>
      <c r="D308" s="32" t="s">
        <v>28</v>
      </c>
      <c r="E308" s="13"/>
      <c r="F308" s="445">
        <v>200</v>
      </c>
      <c r="G308" s="65"/>
      <c r="H308" s="65"/>
      <c r="I308" s="65"/>
    </row>
    <row r="309" spans="1:9" s="58" customFormat="1" hidden="1" x14ac:dyDescent="0.25">
      <c r="A309" s="104"/>
      <c r="B309" s="109"/>
      <c r="C309" s="489" t="s">
        <v>363</v>
      </c>
      <c r="D309" s="126" t="s">
        <v>338</v>
      </c>
      <c r="E309" s="13"/>
      <c r="F309" s="445"/>
      <c r="G309" s="65"/>
      <c r="H309" s="65"/>
      <c r="I309" s="65"/>
    </row>
    <row r="310" spans="1:9" s="58" customFormat="1" hidden="1" x14ac:dyDescent="0.25">
      <c r="A310" s="104">
        <v>1</v>
      </c>
      <c r="B310" s="109" t="s">
        <v>271</v>
      </c>
      <c r="C310" s="489" t="s">
        <v>363</v>
      </c>
      <c r="D310" s="32" t="s">
        <v>30</v>
      </c>
      <c r="E310" s="13"/>
      <c r="F310" s="445">
        <v>5420</v>
      </c>
      <c r="G310" s="65"/>
      <c r="H310" s="65"/>
      <c r="I310" s="65"/>
    </row>
    <row r="311" spans="1:9" s="58" customFormat="1" hidden="1" x14ac:dyDescent="0.25">
      <c r="A311" s="104">
        <v>1</v>
      </c>
      <c r="B311" s="109" t="s">
        <v>271</v>
      </c>
      <c r="C311" s="489" t="s">
        <v>363</v>
      </c>
      <c r="D311" s="32" t="s">
        <v>216</v>
      </c>
      <c r="E311" s="13"/>
      <c r="F311" s="2">
        <v>700</v>
      </c>
      <c r="G311" s="465"/>
      <c r="H311" s="465"/>
      <c r="I311" s="465"/>
    </row>
    <row r="312" spans="1:9" s="58" customFormat="1" ht="30" hidden="1" x14ac:dyDescent="0.25">
      <c r="A312" s="104">
        <v>1</v>
      </c>
      <c r="B312" s="109" t="s">
        <v>271</v>
      </c>
      <c r="C312" s="489" t="s">
        <v>363</v>
      </c>
      <c r="D312" s="32" t="s">
        <v>203</v>
      </c>
      <c r="E312" s="13"/>
      <c r="F312" s="225">
        <v>500</v>
      </c>
      <c r="G312" s="465"/>
      <c r="H312" s="465"/>
      <c r="I312" s="465"/>
    </row>
    <row r="313" spans="1:9" s="58" customFormat="1" ht="30" hidden="1" x14ac:dyDescent="0.25">
      <c r="A313" s="104">
        <v>1</v>
      </c>
      <c r="B313" s="109" t="s">
        <v>271</v>
      </c>
      <c r="C313" s="489" t="s">
        <v>363</v>
      </c>
      <c r="D313" s="32" t="s">
        <v>202</v>
      </c>
      <c r="E313" s="13"/>
      <c r="F313" s="2">
        <v>350</v>
      </c>
      <c r="G313" s="465"/>
      <c r="H313" s="465"/>
      <c r="I313" s="465"/>
    </row>
    <row r="314" spans="1:9" s="58" customFormat="1" hidden="1" x14ac:dyDescent="0.25">
      <c r="A314" s="104">
        <v>1</v>
      </c>
      <c r="B314" s="109" t="s">
        <v>271</v>
      </c>
      <c r="C314" s="489" t="s">
        <v>363</v>
      </c>
      <c r="D314" s="32" t="s">
        <v>118</v>
      </c>
      <c r="E314" s="13"/>
      <c r="F314" s="225">
        <v>2000</v>
      </c>
      <c r="G314" s="465"/>
      <c r="H314" s="465"/>
      <c r="I314" s="465"/>
    </row>
    <row r="315" spans="1:9" s="58" customFormat="1" hidden="1" x14ac:dyDescent="0.25">
      <c r="A315" s="104"/>
      <c r="B315" s="109" t="s">
        <v>271</v>
      </c>
      <c r="C315" s="489" t="s">
        <v>363</v>
      </c>
      <c r="D315" s="21" t="s">
        <v>198</v>
      </c>
      <c r="E315" s="13"/>
      <c r="F315" s="29">
        <f>F287+F266</f>
        <v>69472</v>
      </c>
      <c r="G315" s="465"/>
      <c r="H315" s="465"/>
      <c r="I315" s="465"/>
    </row>
    <row r="316" spans="1:9" s="58" customFormat="1" ht="29.25" hidden="1" x14ac:dyDescent="0.25">
      <c r="A316" s="104"/>
      <c r="B316" s="109" t="s">
        <v>271</v>
      </c>
      <c r="C316" s="489" t="s">
        <v>363</v>
      </c>
      <c r="D316" s="21" t="s">
        <v>199</v>
      </c>
      <c r="E316" s="13"/>
      <c r="F316" s="29">
        <f>F276</f>
        <v>21204</v>
      </c>
      <c r="G316" s="465"/>
      <c r="H316" s="465"/>
      <c r="I316" s="465"/>
    </row>
    <row r="317" spans="1:9" s="58" customFormat="1" hidden="1" x14ac:dyDescent="0.25">
      <c r="A317" s="104"/>
      <c r="B317" s="109" t="s">
        <v>271</v>
      </c>
      <c r="C317" s="489" t="s">
        <v>363</v>
      </c>
      <c r="D317" s="21" t="s">
        <v>200</v>
      </c>
      <c r="E317" s="13"/>
      <c r="F317" s="29">
        <f>F299+F274</f>
        <v>80510</v>
      </c>
      <c r="G317" s="465"/>
      <c r="H317" s="465"/>
      <c r="I317" s="465"/>
    </row>
    <row r="318" spans="1:9" s="58" customFormat="1" ht="29.25" hidden="1" x14ac:dyDescent="0.25">
      <c r="A318" s="104"/>
      <c r="B318" s="109" t="s">
        <v>271</v>
      </c>
      <c r="C318" s="489" t="s">
        <v>363</v>
      </c>
      <c r="D318" s="21" t="s">
        <v>201</v>
      </c>
      <c r="E318" s="13"/>
      <c r="F318" s="29">
        <f>F303+F305</f>
        <v>36600</v>
      </c>
      <c r="G318" s="465"/>
      <c r="H318" s="465"/>
      <c r="I318" s="465"/>
    </row>
    <row r="319" spans="1:9" s="58" customFormat="1" hidden="1" x14ac:dyDescent="0.25">
      <c r="A319" s="104"/>
      <c r="B319" s="109" t="s">
        <v>271</v>
      </c>
      <c r="C319" s="489" t="s">
        <v>363</v>
      </c>
      <c r="D319" s="22" t="s">
        <v>109</v>
      </c>
      <c r="E319" s="13"/>
      <c r="F319" s="29">
        <f>F315+F316+F318+(F275+F300)*2.9</f>
        <v>360755</v>
      </c>
      <c r="G319" s="465"/>
      <c r="H319" s="465"/>
      <c r="I319" s="465"/>
    </row>
    <row r="320" spans="1:9" s="124" customFormat="1" ht="15.75" hidden="1" x14ac:dyDescent="0.25">
      <c r="A320" s="104">
        <v>1</v>
      </c>
      <c r="B320" s="109" t="s">
        <v>271</v>
      </c>
      <c r="C320" s="489" t="s">
        <v>363</v>
      </c>
      <c r="D320" s="23" t="s">
        <v>7</v>
      </c>
      <c r="E320" s="190"/>
      <c r="F320" s="2"/>
      <c r="G320" s="2"/>
      <c r="H320" s="2"/>
      <c r="I320" s="2"/>
    </row>
    <row r="321" spans="1:9" s="124" customFormat="1" hidden="1" x14ac:dyDescent="0.25">
      <c r="A321" s="104">
        <v>1</v>
      </c>
      <c r="B321" s="109" t="s">
        <v>271</v>
      </c>
      <c r="C321" s="489" t="s">
        <v>363</v>
      </c>
      <c r="D321" s="40" t="s">
        <v>91</v>
      </c>
      <c r="E321" s="190"/>
      <c r="F321" s="2"/>
      <c r="G321" s="2"/>
      <c r="H321" s="2"/>
      <c r="I321" s="2"/>
    </row>
    <row r="322" spans="1:9" s="124" customFormat="1" hidden="1" x14ac:dyDescent="0.25">
      <c r="A322" s="104">
        <v>1</v>
      </c>
      <c r="B322" s="109" t="s">
        <v>271</v>
      </c>
      <c r="C322" s="489" t="s">
        <v>363</v>
      </c>
      <c r="D322" s="1" t="s">
        <v>46</v>
      </c>
      <c r="E322" s="615">
        <v>300</v>
      </c>
      <c r="F322" s="2">
        <v>29</v>
      </c>
      <c r="G322" s="622">
        <v>10</v>
      </c>
      <c r="H322" s="2">
        <f>ROUND(I322/E322,0)</f>
        <v>1</v>
      </c>
      <c r="I322" s="2">
        <f>ROUND(F322*G322,0)</f>
        <v>290</v>
      </c>
    </row>
    <row r="323" spans="1:9" s="124" customFormat="1" hidden="1" x14ac:dyDescent="0.25">
      <c r="A323" s="104">
        <v>1</v>
      </c>
      <c r="B323" s="109" t="s">
        <v>271</v>
      </c>
      <c r="C323" s="489" t="s">
        <v>363</v>
      </c>
      <c r="D323" s="1" t="s">
        <v>19</v>
      </c>
      <c r="E323" s="615">
        <v>300</v>
      </c>
      <c r="F323" s="2">
        <v>43</v>
      </c>
      <c r="G323" s="624">
        <v>9.5</v>
      </c>
      <c r="H323" s="2">
        <f>ROUND(I323/E323,0)</f>
        <v>1</v>
      </c>
      <c r="I323" s="2">
        <f>ROUND(F323*G323,0)</f>
        <v>409</v>
      </c>
    </row>
    <row r="324" spans="1:9" s="124" customFormat="1" hidden="1" x14ac:dyDescent="0.25">
      <c r="A324" s="104">
        <v>1</v>
      </c>
      <c r="B324" s="109" t="s">
        <v>271</v>
      </c>
      <c r="C324" s="489" t="s">
        <v>363</v>
      </c>
      <c r="D324" s="1" t="s">
        <v>56</v>
      </c>
      <c r="E324" s="615">
        <v>300</v>
      </c>
      <c r="F324" s="2">
        <v>52</v>
      </c>
      <c r="G324" s="624">
        <v>11</v>
      </c>
      <c r="H324" s="2">
        <f>ROUND(I324/E324,0)</f>
        <v>2</v>
      </c>
      <c r="I324" s="2">
        <f>ROUND(F324*G324,0)</f>
        <v>572</v>
      </c>
    </row>
    <row r="325" spans="1:9" s="124" customFormat="1" hidden="1" x14ac:dyDescent="0.25">
      <c r="A325" s="104">
        <v>1</v>
      </c>
      <c r="B325" s="109" t="s">
        <v>271</v>
      </c>
      <c r="C325" s="489" t="s">
        <v>363</v>
      </c>
      <c r="D325" s="1" t="s">
        <v>10</v>
      </c>
      <c r="E325" s="615">
        <v>300</v>
      </c>
      <c r="F325" s="2">
        <v>71</v>
      </c>
      <c r="G325" s="624">
        <v>6.7</v>
      </c>
      <c r="H325" s="2">
        <f>ROUND(I325/E325,0)</f>
        <v>2</v>
      </c>
      <c r="I325" s="2">
        <f>ROUND(F325*G325,0)</f>
        <v>476</v>
      </c>
    </row>
    <row r="326" spans="1:9" s="124" customFormat="1" hidden="1" x14ac:dyDescent="0.25">
      <c r="A326" s="104"/>
      <c r="B326" s="109" t="s">
        <v>271</v>
      </c>
      <c r="C326" s="489" t="s">
        <v>363</v>
      </c>
      <c r="D326" s="1" t="s">
        <v>75</v>
      </c>
      <c r="E326" s="615">
        <v>300</v>
      </c>
      <c r="F326" s="2">
        <v>118</v>
      </c>
      <c r="G326" s="624">
        <v>7.4</v>
      </c>
      <c r="H326" s="2">
        <f>ROUND(I326/E326,0)</f>
        <v>3</v>
      </c>
      <c r="I326" s="2">
        <f>ROUND(F326*G326,0)</f>
        <v>873</v>
      </c>
    </row>
    <row r="327" spans="1:9" s="124" customFormat="1" hidden="1" x14ac:dyDescent="0.25">
      <c r="A327" s="104">
        <v>1</v>
      </c>
      <c r="B327" s="109" t="s">
        <v>271</v>
      </c>
      <c r="C327" s="489" t="s">
        <v>363</v>
      </c>
      <c r="D327" s="139" t="s">
        <v>9</v>
      </c>
      <c r="E327" s="618"/>
      <c r="F327" s="31">
        <f>SUM(F322:F326)</f>
        <v>313</v>
      </c>
      <c r="G327" s="143">
        <f>I327/F327</f>
        <v>8.3706070287539944</v>
      </c>
      <c r="H327" s="31">
        <f>SUM(H322:H326)</f>
        <v>9</v>
      </c>
      <c r="I327" s="31">
        <f>SUM(I322:I326)</f>
        <v>2620</v>
      </c>
    </row>
    <row r="328" spans="1:9" s="124" customFormat="1" hidden="1" x14ac:dyDescent="0.25">
      <c r="A328" s="104">
        <v>1</v>
      </c>
      <c r="B328" s="109" t="s">
        <v>271</v>
      </c>
      <c r="C328" s="489" t="s">
        <v>363</v>
      </c>
      <c r="D328" s="40" t="s">
        <v>71</v>
      </c>
      <c r="E328" s="618"/>
      <c r="F328" s="31"/>
      <c r="G328" s="36"/>
      <c r="H328" s="31"/>
      <c r="I328" s="31"/>
    </row>
    <row r="329" spans="1:9" s="124" customFormat="1" hidden="1" x14ac:dyDescent="0.25">
      <c r="A329" s="104">
        <v>1</v>
      </c>
      <c r="B329" s="109" t="s">
        <v>271</v>
      </c>
      <c r="C329" s="489" t="s">
        <v>363</v>
      </c>
      <c r="D329" s="625" t="s">
        <v>154</v>
      </c>
      <c r="E329" s="354">
        <v>240</v>
      </c>
      <c r="F329" s="2">
        <v>35</v>
      </c>
      <c r="G329" s="355">
        <v>8</v>
      </c>
      <c r="H329" s="2">
        <f t="shared" ref="H329:H335" si="10">ROUND(I329/E329,0)</f>
        <v>1</v>
      </c>
      <c r="I329" s="2">
        <f t="shared" ref="I329:I335" si="11">ROUND(F329*G329,0)</f>
        <v>280</v>
      </c>
    </row>
    <row r="330" spans="1:9" s="124" customFormat="1" hidden="1" x14ac:dyDescent="0.25">
      <c r="A330" s="104">
        <v>1</v>
      </c>
      <c r="B330" s="109" t="s">
        <v>271</v>
      </c>
      <c r="C330" s="489" t="s">
        <v>363</v>
      </c>
      <c r="D330" s="625" t="s">
        <v>173</v>
      </c>
      <c r="E330" s="354">
        <v>240</v>
      </c>
      <c r="F330" s="2">
        <v>750</v>
      </c>
      <c r="G330" s="355">
        <v>8</v>
      </c>
      <c r="H330" s="2">
        <f t="shared" si="10"/>
        <v>25</v>
      </c>
      <c r="I330" s="2">
        <f t="shared" si="11"/>
        <v>6000</v>
      </c>
    </row>
    <row r="331" spans="1:9" s="124" customFormat="1" hidden="1" x14ac:dyDescent="0.25">
      <c r="A331" s="104">
        <v>1</v>
      </c>
      <c r="B331" s="109" t="s">
        <v>271</v>
      </c>
      <c r="C331" s="489" t="s">
        <v>363</v>
      </c>
      <c r="D331" s="625" t="s">
        <v>174</v>
      </c>
      <c r="E331" s="354">
        <v>240</v>
      </c>
      <c r="F331" s="2">
        <v>62</v>
      </c>
      <c r="G331" s="355">
        <v>8</v>
      </c>
      <c r="H331" s="2">
        <f t="shared" si="10"/>
        <v>2</v>
      </c>
      <c r="I331" s="2">
        <f t="shared" si="11"/>
        <v>496</v>
      </c>
    </row>
    <row r="332" spans="1:9" s="124" customFormat="1" hidden="1" x14ac:dyDescent="0.25">
      <c r="A332" s="104">
        <v>1</v>
      </c>
      <c r="B332" s="109" t="s">
        <v>271</v>
      </c>
      <c r="C332" s="489" t="s">
        <v>363</v>
      </c>
      <c r="D332" s="625" t="s">
        <v>171</v>
      </c>
      <c r="E332" s="354">
        <v>240</v>
      </c>
      <c r="F332" s="2">
        <v>470</v>
      </c>
      <c r="G332" s="355">
        <v>8</v>
      </c>
      <c r="H332" s="2">
        <f t="shared" si="10"/>
        <v>16</v>
      </c>
      <c r="I332" s="2">
        <f t="shared" si="11"/>
        <v>3760</v>
      </c>
    </row>
    <row r="333" spans="1:9" s="124" customFormat="1" hidden="1" x14ac:dyDescent="0.25">
      <c r="A333" s="104">
        <v>1</v>
      </c>
      <c r="B333" s="109" t="s">
        <v>271</v>
      </c>
      <c r="C333" s="489" t="s">
        <v>363</v>
      </c>
      <c r="D333" s="625" t="s">
        <v>172</v>
      </c>
      <c r="E333" s="354">
        <v>240</v>
      </c>
      <c r="F333" s="2">
        <v>60</v>
      </c>
      <c r="G333" s="355">
        <v>8</v>
      </c>
      <c r="H333" s="2">
        <f t="shared" si="10"/>
        <v>2</v>
      </c>
      <c r="I333" s="2">
        <f t="shared" si="11"/>
        <v>480</v>
      </c>
    </row>
    <row r="334" spans="1:9" s="124" customFormat="1" hidden="1" x14ac:dyDescent="0.25">
      <c r="A334" s="104">
        <v>1</v>
      </c>
      <c r="B334" s="109" t="s">
        <v>271</v>
      </c>
      <c r="C334" s="489" t="s">
        <v>363</v>
      </c>
      <c r="D334" s="625" t="s">
        <v>175</v>
      </c>
      <c r="E334" s="354">
        <v>240</v>
      </c>
      <c r="F334" s="2">
        <v>45</v>
      </c>
      <c r="G334" s="355">
        <v>8</v>
      </c>
      <c r="H334" s="2">
        <f t="shared" si="10"/>
        <v>2</v>
      </c>
      <c r="I334" s="2">
        <f t="shared" si="11"/>
        <v>360</v>
      </c>
    </row>
    <row r="335" spans="1:9" s="124" customFormat="1" hidden="1" x14ac:dyDescent="0.25">
      <c r="A335" s="104">
        <v>1</v>
      </c>
      <c r="B335" s="109" t="s">
        <v>271</v>
      </c>
      <c r="C335" s="489" t="s">
        <v>363</v>
      </c>
      <c r="D335" s="625" t="s">
        <v>176</v>
      </c>
      <c r="E335" s="354">
        <v>240</v>
      </c>
      <c r="F335" s="2">
        <v>170</v>
      </c>
      <c r="G335" s="355">
        <v>8</v>
      </c>
      <c r="H335" s="2">
        <f t="shared" si="10"/>
        <v>6</v>
      </c>
      <c r="I335" s="2">
        <f t="shared" si="11"/>
        <v>1360</v>
      </c>
    </row>
    <row r="336" spans="1:9" s="124" customFormat="1" hidden="1" x14ac:dyDescent="0.25">
      <c r="A336" s="104">
        <v>1</v>
      </c>
      <c r="B336" s="109" t="s">
        <v>271</v>
      </c>
      <c r="C336" s="489" t="s">
        <v>363</v>
      </c>
      <c r="D336" s="139" t="s">
        <v>92</v>
      </c>
      <c r="E336" s="354"/>
      <c r="F336" s="31">
        <f>SUM(F329:F335)</f>
        <v>1592</v>
      </c>
      <c r="G336" s="592">
        <f>I336/F336</f>
        <v>8</v>
      </c>
      <c r="H336" s="31">
        <f>SUM(H329:H335)</f>
        <v>54</v>
      </c>
      <c r="I336" s="31">
        <f>SUM(I329:I335)</f>
        <v>12736</v>
      </c>
    </row>
    <row r="337" spans="1:68" s="124" customFormat="1" hidden="1" x14ac:dyDescent="0.25">
      <c r="A337" s="104">
        <v>1</v>
      </c>
      <c r="B337" s="109" t="s">
        <v>271</v>
      </c>
      <c r="C337" s="489" t="s">
        <v>363</v>
      </c>
      <c r="D337" s="70" t="s">
        <v>86</v>
      </c>
      <c r="E337" s="190"/>
      <c r="F337" s="29">
        <f>SUM(F336,F327)</f>
        <v>1905</v>
      </c>
      <c r="G337" s="143">
        <f>I337/F337</f>
        <v>8.0608923884514443</v>
      </c>
      <c r="H337" s="29">
        <f>H327+H336</f>
        <v>63</v>
      </c>
      <c r="I337" s="29">
        <f>I327+I336</f>
        <v>15356</v>
      </c>
    </row>
    <row r="338" spans="1:68" s="124" customFormat="1" hidden="1" x14ac:dyDescent="0.25">
      <c r="A338" s="104"/>
      <c r="B338" s="109" t="s">
        <v>271</v>
      </c>
      <c r="C338" s="489" t="s">
        <v>363</v>
      </c>
      <c r="D338" s="626"/>
      <c r="E338" s="190"/>
      <c r="F338" s="302"/>
      <c r="G338" s="151"/>
      <c r="H338" s="302"/>
      <c r="I338" s="302"/>
    </row>
    <row r="339" spans="1:68" s="124" customFormat="1" ht="30" hidden="1" x14ac:dyDescent="0.25">
      <c r="A339" s="104"/>
      <c r="B339" s="109" t="s">
        <v>271</v>
      </c>
      <c r="C339" s="489" t="s">
        <v>363</v>
      </c>
      <c r="D339" s="197" t="s">
        <v>332</v>
      </c>
      <c r="E339" s="610"/>
      <c r="F339" s="95"/>
      <c r="G339" s="147"/>
      <c r="H339" s="43"/>
      <c r="I339" s="43"/>
    </row>
    <row r="340" spans="1:68" s="124" customFormat="1" ht="42" hidden="1" customHeight="1" x14ac:dyDescent="0.25">
      <c r="A340" s="104"/>
      <c r="B340" s="109" t="s">
        <v>271</v>
      </c>
      <c r="C340" s="489" t="s">
        <v>363</v>
      </c>
      <c r="D340" s="627" t="s">
        <v>333</v>
      </c>
      <c r="E340" s="190"/>
      <c r="F340" s="95"/>
      <c r="G340" s="147"/>
      <c r="H340" s="302"/>
      <c r="I340" s="302"/>
    </row>
    <row r="341" spans="1:68" s="124" customFormat="1" ht="42" hidden="1" customHeight="1" x14ac:dyDescent="0.25">
      <c r="A341" s="104"/>
      <c r="B341" s="109" t="s">
        <v>271</v>
      </c>
      <c r="C341" s="489" t="s">
        <v>363</v>
      </c>
      <c r="D341" s="628" t="s">
        <v>334</v>
      </c>
      <c r="E341" s="190"/>
      <c r="F341" s="95"/>
      <c r="G341" s="147"/>
      <c r="H341" s="303"/>
      <c r="I341" s="303"/>
    </row>
    <row r="342" spans="1:68" s="124" customFormat="1" ht="85.5" hidden="1" customHeight="1" x14ac:dyDescent="0.25">
      <c r="A342" s="104"/>
      <c r="B342" s="109" t="s">
        <v>271</v>
      </c>
      <c r="C342" s="489" t="s">
        <v>363</v>
      </c>
      <c r="D342" s="197" t="s">
        <v>328</v>
      </c>
      <c r="E342" s="610"/>
      <c r="F342" s="445"/>
      <c r="G342" s="147"/>
      <c r="H342" s="43"/>
      <c r="I342" s="43"/>
    </row>
    <row r="343" spans="1:68" s="629" customFormat="1" hidden="1" x14ac:dyDescent="0.25">
      <c r="A343" s="104">
        <v>1</v>
      </c>
      <c r="B343" s="109" t="s">
        <v>271</v>
      </c>
      <c r="C343" s="489" t="s">
        <v>363</v>
      </c>
      <c r="D343" s="611" t="s">
        <v>220</v>
      </c>
      <c r="E343" s="612"/>
      <c r="F343" s="612"/>
      <c r="G343" s="612"/>
      <c r="H343" s="612"/>
      <c r="I343" s="612"/>
      <c r="J343" s="124"/>
      <c r="K343" s="124"/>
      <c r="L343" s="124"/>
      <c r="M343" s="124"/>
      <c r="N343" s="124"/>
      <c r="O343" s="124"/>
      <c r="P343" s="124"/>
      <c r="Q343" s="124"/>
      <c r="R343" s="124"/>
      <c r="S343" s="124"/>
      <c r="T343" s="124"/>
      <c r="U343" s="124"/>
      <c r="V343" s="124"/>
      <c r="W343" s="124"/>
      <c r="X343" s="124"/>
      <c r="Y343" s="124"/>
      <c r="Z343" s="124"/>
      <c r="AA343" s="124"/>
      <c r="AB343" s="124"/>
      <c r="AC343" s="124"/>
      <c r="AD343" s="124"/>
      <c r="AE343" s="124"/>
      <c r="AF343" s="124"/>
      <c r="AG343" s="124"/>
      <c r="AH343" s="124"/>
      <c r="AI343" s="124"/>
      <c r="AJ343" s="124"/>
      <c r="AK343" s="124"/>
      <c r="AL343" s="124"/>
      <c r="AM343" s="124"/>
      <c r="AN343" s="124"/>
      <c r="AO343" s="124"/>
      <c r="AP343" s="124"/>
      <c r="AQ343" s="124"/>
      <c r="AR343" s="124"/>
      <c r="AS343" s="124"/>
      <c r="AT343" s="124"/>
      <c r="AU343" s="124"/>
      <c r="AV343" s="124"/>
      <c r="AW343" s="124"/>
      <c r="AX343" s="124"/>
      <c r="AY343" s="124"/>
      <c r="AZ343" s="124"/>
      <c r="BA343" s="124"/>
      <c r="BB343" s="124"/>
      <c r="BC343" s="124"/>
      <c r="BD343" s="124"/>
      <c r="BE343" s="124"/>
      <c r="BF343" s="124"/>
      <c r="BG343" s="124"/>
      <c r="BH343" s="124"/>
      <c r="BI343" s="124"/>
      <c r="BJ343" s="124"/>
      <c r="BK343" s="124"/>
      <c r="BL343" s="124"/>
      <c r="BM343" s="124"/>
      <c r="BN343" s="124"/>
      <c r="BO343" s="124"/>
      <c r="BP343" s="124"/>
    </row>
    <row r="344" spans="1:68" hidden="1" x14ac:dyDescent="0.25">
      <c r="A344" s="104">
        <v>1</v>
      </c>
      <c r="C344" s="489" t="s">
        <v>363</v>
      </c>
      <c r="D344" s="630"/>
      <c r="E344" s="599"/>
      <c r="F344" s="2"/>
      <c r="G344" s="2"/>
      <c r="H344" s="2"/>
      <c r="I344" s="2"/>
      <c r="J344" s="124"/>
      <c r="K344" s="124"/>
      <c r="L344" s="124"/>
      <c r="M344" s="124"/>
      <c r="N344" s="124"/>
      <c r="O344" s="124"/>
      <c r="P344" s="124"/>
      <c r="Q344" s="124"/>
      <c r="R344" s="124"/>
      <c r="S344" s="124"/>
      <c r="T344" s="124"/>
      <c r="U344" s="124"/>
      <c r="V344" s="124"/>
      <c r="W344" s="124"/>
      <c r="X344" s="124"/>
      <c r="Y344" s="124"/>
      <c r="Z344" s="124"/>
      <c r="AA344" s="124"/>
      <c r="AB344" s="124"/>
      <c r="AC344" s="124"/>
      <c r="AD344" s="124"/>
      <c r="AE344" s="124"/>
      <c r="AF344" s="124"/>
      <c r="AG344" s="124"/>
      <c r="AH344" s="124"/>
      <c r="AI344" s="124"/>
      <c r="AJ344" s="124"/>
      <c r="AK344" s="124"/>
      <c r="AL344" s="124"/>
      <c r="AM344" s="124"/>
      <c r="AN344" s="124"/>
      <c r="AO344" s="124"/>
      <c r="AP344" s="124"/>
      <c r="AQ344" s="124"/>
      <c r="AR344" s="124"/>
      <c r="AS344" s="124"/>
      <c r="AT344" s="124"/>
      <c r="AU344" s="124"/>
      <c r="AV344" s="124"/>
      <c r="AW344" s="124"/>
      <c r="AX344" s="124"/>
      <c r="AY344" s="124"/>
      <c r="AZ344" s="124"/>
      <c r="BA344" s="124"/>
      <c r="BB344" s="124"/>
      <c r="BC344" s="124"/>
      <c r="BD344" s="124"/>
      <c r="BE344" s="124"/>
      <c r="BF344" s="124"/>
      <c r="BG344" s="124"/>
      <c r="BH344" s="124"/>
      <c r="BI344" s="124"/>
      <c r="BJ344" s="124"/>
      <c r="BK344" s="124"/>
      <c r="BL344" s="124"/>
      <c r="BM344" s="124"/>
      <c r="BN344" s="124"/>
      <c r="BO344" s="124"/>
      <c r="BP344" s="124"/>
    </row>
    <row r="345" spans="1:68" ht="31.5" hidden="1" x14ac:dyDescent="0.25">
      <c r="A345" s="104">
        <v>1</v>
      </c>
      <c r="B345" s="109" t="s">
        <v>272</v>
      </c>
      <c r="C345" s="489" t="s">
        <v>363</v>
      </c>
      <c r="D345" s="678" t="s">
        <v>408</v>
      </c>
      <c r="E345" s="600"/>
      <c r="F345" s="2"/>
      <c r="G345" s="2"/>
      <c r="H345" s="2"/>
      <c r="I345" s="2"/>
      <c r="J345" s="124"/>
      <c r="K345" s="124"/>
      <c r="L345" s="124"/>
      <c r="M345" s="124"/>
      <c r="N345" s="124"/>
      <c r="O345" s="124"/>
      <c r="P345" s="124"/>
      <c r="Q345" s="124"/>
      <c r="R345" s="124"/>
      <c r="S345" s="124"/>
      <c r="T345" s="124"/>
      <c r="U345" s="124"/>
      <c r="V345" s="124"/>
      <c r="W345" s="124"/>
      <c r="X345" s="124"/>
      <c r="Y345" s="124"/>
      <c r="Z345" s="124"/>
      <c r="AA345" s="124"/>
      <c r="AB345" s="124"/>
      <c r="AC345" s="124"/>
      <c r="AD345" s="124"/>
      <c r="AE345" s="124"/>
      <c r="AF345" s="124"/>
      <c r="AG345" s="124"/>
      <c r="AH345" s="124"/>
      <c r="AI345" s="124"/>
      <c r="AJ345" s="124"/>
      <c r="AK345" s="124"/>
      <c r="AL345" s="124"/>
      <c r="AM345" s="124"/>
      <c r="AN345" s="124"/>
      <c r="AO345" s="124"/>
      <c r="AP345" s="124"/>
      <c r="AQ345" s="124"/>
      <c r="AR345" s="124"/>
      <c r="AS345" s="124"/>
      <c r="AT345" s="124"/>
      <c r="AU345" s="124"/>
      <c r="AV345" s="124"/>
      <c r="AW345" s="124"/>
      <c r="AX345" s="124"/>
      <c r="AY345" s="124"/>
      <c r="AZ345" s="124"/>
      <c r="BA345" s="124"/>
      <c r="BB345" s="124"/>
      <c r="BC345" s="124"/>
      <c r="BD345" s="124"/>
      <c r="BE345" s="124"/>
      <c r="BF345" s="124"/>
      <c r="BG345" s="124"/>
      <c r="BH345" s="124"/>
      <c r="BI345" s="124"/>
      <c r="BJ345" s="124"/>
      <c r="BK345" s="124"/>
      <c r="BL345" s="124"/>
      <c r="BM345" s="124"/>
      <c r="BN345" s="124"/>
      <c r="BO345" s="124"/>
      <c r="BP345" s="124"/>
    </row>
    <row r="346" spans="1:68" hidden="1" x14ac:dyDescent="0.25">
      <c r="A346" s="104">
        <v>1</v>
      </c>
      <c r="B346" s="109" t="s">
        <v>272</v>
      </c>
      <c r="C346" s="489" t="s">
        <v>363</v>
      </c>
      <c r="D346" s="112" t="s">
        <v>4</v>
      </c>
      <c r="E346" s="600"/>
      <c r="F346" s="2"/>
      <c r="G346" s="2"/>
      <c r="H346" s="2"/>
      <c r="I346" s="2"/>
      <c r="J346" s="124"/>
      <c r="K346" s="124"/>
      <c r="L346" s="124"/>
      <c r="M346" s="124"/>
      <c r="N346" s="124"/>
      <c r="O346" s="124"/>
      <c r="P346" s="124"/>
      <c r="Q346" s="124"/>
      <c r="R346" s="124"/>
      <c r="S346" s="124"/>
      <c r="T346" s="124"/>
      <c r="U346" s="124"/>
      <c r="V346" s="124"/>
      <c r="W346" s="124"/>
      <c r="X346" s="124"/>
      <c r="Y346" s="124"/>
      <c r="Z346" s="124"/>
      <c r="AA346" s="124"/>
      <c r="AB346" s="124"/>
      <c r="AC346" s="124"/>
      <c r="AD346" s="124"/>
      <c r="AE346" s="124"/>
      <c r="AF346" s="124"/>
      <c r="AG346" s="124"/>
      <c r="AH346" s="124"/>
      <c r="AI346" s="124"/>
      <c r="AJ346" s="124"/>
      <c r="AK346" s="124"/>
      <c r="AL346" s="124"/>
      <c r="AM346" s="124"/>
      <c r="AN346" s="124"/>
      <c r="AO346" s="124"/>
      <c r="AP346" s="124"/>
      <c r="AQ346" s="124"/>
      <c r="AR346" s="124"/>
      <c r="AS346" s="124"/>
      <c r="AT346" s="124"/>
      <c r="AU346" s="124"/>
      <c r="AV346" s="124"/>
      <c r="AW346" s="124"/>
      <c r="AX346" s="124"/>
      <c r="AY346" s="124"/>
      <c r="AZ346" s="124"/>
      <c r="BA346" s="124"/>
      <c r="BB346" s="124"/>
      <c r="BC346" s="124"/>
      <c r="BD346" s="124"/>
      <c r="BE346" s="124"/>
      <c r="BF346" s="124"/>
      <c r="BG346" s="124"/>
      <c r="BH346" s="124"/>
      <c r="BI346" s="124"/>
      <c r="BJ346" s="124"/>
      <c r="BK346" s="124"/>
      <c r="BL346" s="124"/>
      <c r="BM346" s="124"/>
      <c r="BN346" s="124"/>
      <c r="BO346" s="124"/>
      <c r="BP346" s="124"/>
    </row>
    <row r="347" spans="1:68" hidden="1" x14ac:dyDescent="0.25">
      <c r="A347" s="104">
        <v>1</v>
      </c>
      <c r="B347" s="109" t="s">
        <v>272</v>
      </c>
      <c r="C347" s="489" t="s">
        <v>363</v>
      </c>
      <c r="D347" s="117" t="s">
        <v>49</v>
      </c>
      <c r="E347" s="354">
        <v>340</v>
      </c>
      <c r="F347" s="2">
        <v>4860</v>
      </c>
      <c r="G347" s="355">
        <v>6.1</v>
      </c>
      <c r="H347" s="2">
        <f>ROUND(I347/E347,0)</f>
        <v>87</v>
      </c>
      <c r="I347" s="2">
        <f>ROUND(F347*G347,0)</f>
        <v>29646</v>
      </c>
      <c r="J347" s="124"/>
      <c r="K347" s="124"/>
      <c r="L347" s="124"/>
      <c r="M347" s="124"/>
      <c r="N347" s="124"/>
      <c r="O347" s="124"/>
      <c r="P347" s="124"/>
      <c r="Q347" s="124"/>
      <c r="R347" s="124"/>
      <c r="S347" s="124"/>
      <c r="T347" s="124"/>
      <c r="U347" s="124"/>
      <c r="V347" s="124"/>
      <c r="W347" s="124"/>
      <c r="X347" s="124"/>
      <c r="Y347" s="124"/>
      <c r="Z347" s="124"/>
      <c r="AA347" s="124"/>
      <c r="AB347" s="124"/>
      <c r="AC347" s="124"/>
      <c r="AD347" s="124"/>
      <c r="AE347" s="124"/>
      <c r="AF347" s="124"/>
      <c r="AG347" s="124"/>
      <c r="AH347" s="124"/>
      <c r="AI347" s="124"/>
      <c r="AJ347" s="124"/>
      <c r="AK347" s="124"/>
      <c r="AL347" s="124"/>
      <c r="AM347" s="124"/>
      <c r="AN347" s="124"/>
      <c r="AO347" s="124"/>
      <c r="AP347" s="124"/>
      <c r="AQ347" s="124"/>
      <c r="AR347" s="124"/>
      <c r="AS347" s="124"/>
      <c r="AT347" s="124"/>
      <c r="AU347" s="124"/>
      <c r="AV347" s="124"/>
      <c r="AW347" s="124"/>
      <c r="AX347" s="124"/>
      <c r="AY347" s="124"/>
      <c r="AZ347" s="124"/>
      <c r="BA347" s="124"/>
      <c r="BB347" s="124"/>
      <c r="BC347" s="124"/>
      <c r="BD347" s="124"/>
      <c r="BE347" s="124"/>
      <c r="BF347" s="124"/>
      <c r="BG347" s="124"/>
      <c r="BH347" s="124"/>
      <c r="BI347" s="124"/>
      <c r="BJ347" s="124"/>
      <c r="BK347" s="124"/>
      <c r="BL347" s="124"/>
      <c r="BM347" s="124"/>
      <c r="BN347" s="124"/>
      <c r="BO347" s="124"/>
      <c r="BP347" s="124"/>
    </row>
    <row r="348" spans="1:68" hidden="1" x14ac:dyDescent="0.25">
      <c r="A348" s="104">
        <v>1</v>
      </c>
      <c r="B348" s="109" t="s">
        <v>272</v>
      </c>
      <c r="C348" s="489" t="s">
        <v>363</v>
      </c>
      <c r="D348" s="117" t="s">
        <v>47</v>
      </c>
      <c r="E348" s="354">
        <v>300</v>
      </c>
      <c r="F348" s="2">
        <v>1180</v>
      </c>
      <c r="G348" s="355">
        <v>5.7</v>
      </c>
      <c r="H348" s="2">
        <f>ROUND(I348/E348,0)</f>
        <v>22</v>
      </c>
      <c r="I348" s="2">
        <f>ROUND(F348*G348,0)</f>
        <v>6726</v>
      </c>
      <c r="J348" s="124"/>
      <c r="K348" s="124"/>
      <c r="L348" s="124"/>
      <c r="M348" s="124"/>
      <c r="N348" s="124"/>
      <c r="O348" s="124"/>
      <c r="P348" s="124"/>
      <c r="Q348" s="124"/>
      <c r="R348" s="124"/>
      <c r="S348" s="124"/>
      <c r="T348" s="124"/>
      <c r="U348" s="124"/>
      <c r="V348" s="124"/>
      <c r="W348" s="124"/>
      <c r="X348" s="124"/>
      <c r="Y348" s="124"/>
      <c r="Z348" s="124"/>
      <c r="AA348" s="124"/>
      <c r="AB348" s="124"/>
      <c r="AC348" s="124"/>
      <c r="AD348" s="124"/>
      <c r="AE348" s="124"/>
      <c r="AF348" s="124"/>
      <c r="AG348" s="124"/>
      <c r="AH348" s="124"/>
      <c r="AI348" s="124"/>
      <c r="AJ348" s="124"/>
      <c r="AK348" s="124"/>
      <c r="AL348" s="124"/>
      <c r="AM348" s="124"/>
      <c r="AN348" s="124"/>
      <c r="AO348" s="124"/>
      <c r="AP348" s="124"/>
      <c r="AQ348" s="124"/>
      <c r="AR348" s="124"/>
      <c r="AS348" s="124"/>
      <c r="AT348" s="124"/>
      <c r="AU348" s="124"/>
      <c r="AV348" s="124"/>
      <c r="AW348" s="124"/>
      <c r="AX348" s="124"/>
      <c r="AY348" s="124"/>
      <c r="AZ348" s="124"/>
      <c r="BA348" s="124"/>
      <c r="BB348" s="124"/>
      <c r="BC348" s="124"/>
      <c r="BD348" s="124"/>
      <c r="BE348" s="124"/>
      <c r="BF348" s="124"/>
      <c r="BG348" s="124"/>
      <c r="BH348" s="124"/>
      <c r="BI348" s="124"/>
      <c r="BJ348" s="124"/>
      <c r="BK348" s="124"/>
      <c r="BL348" s="124"/>
      <c r="BM348" s="124"/>
      <c r="BN348" s="124"/>
      <c r="BO348" s="124"/>
      <c r="BP348" s="124"/>
    </row>
    <row r="349" spans="1:68" hidden="1" x14ac:dyDescent="0.25">
      <c r="A349" s="104">
        <v>1</v>
      </c>
      <c r="B349" s="109" t="s">
        <v>272</v>
      </c>
      <c r="C349" s="489" t="s">
        <v>363</v>
      </c>
      <c r="D349" s="117" t="s">
        <v>48</v>
      </c>
      <c r="E349" s="354">
        <v>340</v>
      </c>
      <c r="F349" s="2">
        <v>1400</v>
      </c>
      <c r="G349" s="355">
        <v>8</v>
      </c>
      <c r="H349" s="2">
        <f>ROUND(I349/E349,0)</f>
        <v>33</v>
      </c>
      <c r="I349" s="2">
        <f>ROUND(F349*G349,0)</f>
        <v>11200</v>
      </c>
      <c r="J349" s="124"/>
      <c r="K349" s="124"/>
      <c r="L349" s="124"/>
      <c r="M349" s="124"/>
      <c r="N349" s="124"/>
      <c r="O349" s="124"/>
      <c r="P349" s="124"/>
      <c r="Q349" s="124"/>
      <c r="R349" s="124"/>
      <c r="S349" s="124"/>
      <c r="T349" s="124"/>
      <c r="U349" s="124"/>
      <c r="V349" s="124"/>
      <c r="W349" s="124"/>
      <c r="X349" s="124"/>
      <c r="Y349" s="124"/>
      <c r="Z349" s="124"/>
      <c r="AA349" s="124"/>
      <c r="AB349" s="124"/>
      <c r="AC349" s="124"/>
      <c r="AD349" s="124"/>
      <c r="AE349" s="124"/>
      <c r="AF349" s="124"/>
      <c r="AG349" s="124"/>
      <c r="AH349" s="124"/>
      <c r="AI349" s="124"/>
      <c r="AJ349" s="124"/>
      <c r="AK349" s="124"/>
      <c r="AL349" s="124"/>
      <c r="AM349" s="124"/>
      <c r="AN349" s="124"/>
      <c r="AO349" s="124"/>
      <c r="AP349" s="124"/>
      <c r="AQ349" s="124"/>
      <c r="AR349" s="124"/>
      <c r="AS349" s="124"/>
      <c r="AT349" s="124"/>
      <c r="AU349" s="124"/>
      <c r="AV349" s="124"/>
      <c r="AW349" s="124"/>
      <c r="AX349" s="124"/>
      <c r="AY349" s="124"/>
      <c r="AZ349" s="124"/>
      <c r="BA349" s="124"/>
      <c r="BB349" s="124"/>
      <c r="BC349" s="124"/>
      <c r="BD349" s="124"/>
      <c r="BE349" s="124"/>
      <c r="BF349" s="124"/>
      <c r="BG349" s="124"/>
      <c r="BH349" s="124"/>
      <c r="BI349" s="124"/>
      <c r="BJ349" s="124"/>
      <c r="BK349" s="124"/>
      <c r="BL349" s="124"/>
      <c r="BM349" s="124"/>
      <c r="BN349" s="124"/>
      <c r="BO349" s="124"/>
      <c r="BP349" s="124"/>
    </row>
    <row r="350" spans="1:68" s="124" customFormat="1" hidden="1" x14ac:dyDescent="0.25">
      <c r="A350" s="104">
        <v>1</v>
      </c>
      <c r="B350" s="109" t="s">
        <v>272</v>
      </c>
      <c r="C350" s="489" t="s">
        <v>363</v>
      </c>
      <c r="D350" s="589" t="s">
        <v>5</v>
      </c>
      <c r="E350" s="190"/>
      <c r="F350" s="29">
        <f>SUM(F347:F349)</f>
        <v>7440</v>
      </c>
      <c r="G350" s="143">
        <f>I350/F350</f>
        <v>6.3940860215053767</v>
      </c>
      <c r="H350" s="29">
        <f t="shared" ref="H350:I350" si="12">SUM(H347:H349)</f>
        <v>142</v>
      </c>
      <c r="I350" s="29">
        <f t="shared" si="12"/>
        <v>47572</v>
      </c>
    </row>
    <row r="351" spans="1:68" s="124" customFormat="1" hidden="1" x14ac:dyDescent="0.25">
      <c r="A351" s="104">
        <v>1</v>
      </c>
      <c r="B351" s="109" t="s">
        <v>272</v>
      </c>
      <c r="C351" s="489" t="s">
        <v>363</v>
      </c>
      <c r="D351" s="12" t="s">
        <v>108</v>
      </c>
      <c r="E351" s="41"/>
      <c r="F351" s="29"/>
      <c r="G351" s="2"/>
      <c r="H351" s="2"/>
      <c r="I351" s="2"/>
    </row>
    <row r="352" spans="1:68" s="124" customFormat="1" hidden="1" x14ac:dyDescent="0.25">
      <c r="A352" s="104"/>
      <c r="B352" s="109" t="s">
        <v>272</v>
      </c>
      <c r="C352" s="489" t="s">
        <v>363</v>
      </c>
      <c r="D352" s="266" t="s">
        <v>296</v>
      </c>
      <c r="E352" s="41"/>
      <c r="F352" s="29">
        <f>F354+F359</f>
        <v>65800</v>
      </c>
      <c r="G352" s="2"/>
      <c r="H352" s="2"/>
      <c r="I352" s="2"/>
      <c r="J352" s="58"/>
    </row>
    <row r="353" spans="1:10" s="124" customFormat="1" hidden="1" x14ac:dyDescent="0.25">
      <c r="A353" s="104"/>
      <c r="B353" s="109" t="s">
        <v>272</v>
      </c>
      <c r="C353" s="489" t="s">
        <v>363</v>
      </c>
      <c r="D353" s="15" t="s">
        <v>297</v>
      </c>
      <c r="E353" s="41"/>
      <c r="F353" s="29"/>
      <c r="G353" s="2"/>
      <c r="H353" s="2"/>
      <c r="I353" s="2"/>
      <c r="J353" s="58"/>
    </row>
    <row r="354" spans="1:10" s="124" customFormat="1" ht="30" hidden="1" x14ac:dyDescent="0.25">
      <c r="A354" s="104"/>
      <c r="B354" s="109" t="s">
        <v>272</v>
      </c>
      <c r="C354" s="489" t="s">
        <v>363</v>
      </c>
      <c r="D354" s="16" t="s">
        <v>298</v>
      </c>
      <c r="E354" s="41"/>
      <c r="F354" s="29">
        <f>F355</f>
        <v>62300</v>
      </c>
      <c r="G354" s="2"/>
      <c r="H354" s="2"/>
      <c r="I354" s="2"/>
      <c r="J354" s="58"/>
    </row>
    <row r="355" spans="1:10" s="124" customFormat="1" hidden="1" x14ac:dyDescent="0.25">
      <c r="A355" s="104"/>
      <c r="B355" s="109" t="s">
        <v>272</v>
      </c>
      <c r="C355" s="489" t="s">
        <v>363</v>
      </c>
      <c r="D355" s="15" t="s">
        <v>299</v>
      </c>
      <c r="E355" s="13"/>
      <c r="F355" s="17">
        <v>62300</v>
      </c>
      <c r="G355" s="10"/>
      <c r="H355" s="10"/>
      <c r="I355" s="10"/>
      <c r="J355" s="58"/>
    </row>
    <row r="356" spans="1:10" s="124" customFormat="1" ht="30" hidden="1" x14ac:dyDescent="0.25">
      <c r="A356" s="104"/>
      <c r="B356" s="109" t="s">
        <v>272</v>
      </c>
      <c r="C356" s="489" t="s">
        <v>363</v>
      </c>
      <c r="D356" s="15" t="s">
        <v>300</v>
      </c>
      <c r="E356" s="41"/>
      <c r="F356" s="29"/>
      <c r="G356" s="2"/>
      <c r="H356" s="2"/>
      <c r="I356" s="2"/>
      <c r="J356" s="58"/>
    </row>
    <row r="357" spans="1:10" s="124" customFormat="1" ht="45" hidden="1" x14ac:dyDescent="0.25">
      <c r="A357" s="104"/>
      <c r="B357" s="109" t="s">
        <v>272</v>
      </c>
      <c r="C357" s="489" t="s">
        <v>363</v>
      </c>
      <c r="D357" s="15" t="s">
        <v>301</v>
      </c>
      <c r="E357" s="41"/>
      <c r="F357" s="29"/>
      <c r="G357" s="2"/>
      <c r="H357" s="2"/>
      <c r="I357" s="2"/>
      <c r="J357" s="58"/>
    </row>
    <row r="358" spans="1:10" s="124" customFormat="1" ht="45" hidden="1" x14ac:dyDescent="0.25">
      <c r="A358" s="104"/>
      <c r="B358" s="109" t="s">
        <v>272</v>
      </c>
      <c r="C358" s="489" t="s">
        <v>363</v>
      </c>
      <c r="D358" s="15" t="s">
        <v>309</v>
      </c>
      <c r="E358" s="41"/>
      <c r="F358" s="29"/>
      <c r="G358" s="2"/>
      <c r="H358" s="2"/>
      <c r="I358" s="2"/>
      <c r="J358" s="58"/>
    </row>
    <row r="359" spans="1:10" s="124" customFormat="1" ht="45" hidden="1" x14ac:dyDescent="0.25">
      <c r="A359" s="104"/>
      <c r="B359" s="109" t="s">
        <v>272</v>
      </c>
      <c r="C359" s="489" t="s">
        <v>363</v>
      </c>
      <c r="D359" s="15" t="s">
        <v>310</v>
      </c>
      <c r="E359" s="41"/>
      <c r="F359" s="2">
        <v>3500</v>
      </c>
      <c r="G359" s="2"/>
      <c r="H359" s="2"/>
      <c r="I359" s="2"/>
      <c r="J359" s="58"/>
    </row>
    <row r="360" spans="1:10" s="124" customFormat="1" hidden="1" x14ac:dyDescent="0.25">
      <c r="A360" s="104"/>
      <c r="B360" s="109" t="s">
        <v>272</v>
      </c>
      <c r="C360" s="489" t="s">
        <v>363</v>
      </c>
      <c r="D360" s="14" t="s">
        <v>303</v>
      </c>
      <c r="E360" s="41"/>
      <c r="F360" s="2">
        <f>F361</f>
        <v>21000</v>
      </c>
      <c r="G360" s="2"/>
      <c r="H360" s="2"/>
      <c r="I360" s="2"/>
      <c r="J360" s="58"/>
    </row>
    <row r="361" spans="1:10" s="124" customFormat="1" hidden="1" x14ac:dyDescent="0.25">
      <c r="A361" s="104"/>
      <c r="B361" s="109" t="s">
        <v>272</v>
      </c>
      <c r="C361" s="489" t="s">
        <v>363</v>
      </c>
      <c r="D361" s="15" t="s">
        <v>318</v>
      </c>
      <c r="E361" s="41"/>
      <c r="F361" s="2">
        <v>21000</v>
      </c>
      <c r="G361" s="2"/>
      <c r="H361" s="2"/>
      <c r="I361" s="2"/>
      <c r="J361" s="58"/>
    </row>
    <row r="362" spans="1:10" s="124" customFormat="1" hidden="1" x14ac:dyDescent="0.25">
      <c r="A362" s="104"/>
      <c r="B362" s="109" t="s">
        <v>272</v>
      </c>
      <c r="C362" s="489" t="s">
        <v>363</v>
      </c>
      <c r="D362" s="15" t="s">
        <v>305</v>
      </c>
      <c r="E362" s="41"/>
      <c r="F362" s="29"/>
      <c r="G362" s="2"/>
      <c r="H362" s="2"/>
      <c r="I362" s="2"/>
      <c r="J362" s="58"/>
    </row>
    <row r="363" spans="1:10" s="124" customFormat="1" ht="29.25" hidden="1" x14ac:dyDescent="0.25">
      <c r="A363" s="104"/>
      <c r="B363" s="109" t="s">
        <v>272</v>
      </c>
      <c r="C363" s="489" t="s">
        <v>363</v>
      </c>
      <c r="D363" s="14" t="s">
        <v>306</v>
      </c>
      <c r="E363" s="41"/>
      <c r="F363" s="2"/>
      <c r="G363" s="2"/>
      <c r="H363" s="2"/>
      <c r="I363" s="2"/>
      <c r="J363" s="58"/>
    </row>
    <row r="364" spans="1:10" s="124" customFormat="1" hidden="1" x14ac:dyDescent="0.25">
      <c r="A364" s="104"/>
      <c r="B364" s="109" t="s">
        <v>272</v>
      </c>
      <c r="C364" s="489" t="s">
        <v>363</v>
      </c>
      <c r="D364" s="19" t="s">
        <v>115</v>
      </c>
      <c r="E364" s="41"/>
      <c r="F364" s="29"/>
      <c r="G364" s="2"/>
      <c r="H364" s="2"/>
      <c r="I364" s="2"/>
      <c r="J364" s="58"/>
    </row>
    <row r="365" spans="1:10" s="124" customFormat="1" ht="57.75" hidden="1" x14ac:dyDescent="0.25">
      <c r="A365" s="104">
        <v>1</v>
      </c>
      <c r="B365" s="109" t="s">
        <v>272</v>
      </c>
      <c r="C365" s="489" t="s">
        <v>363</v>
      </c>
      <c r="D365" s="14" t="s">
        <v>307</v>
      </c>
      <c r="E365" s="41"/>
      <c r="F365" s="2">
        <v>600</v>
      </c>
      <c r="G365" s="2"/>
      <c r="H365" s="2"/>
      <c r="I365" s="2"/>
      <c r="J365" s="58"/>
    </row>
    <row r="366" spans="1:10" s="124" customFormat="1" hidden="1" x14ac:dyDescent="0.25">
      <c r="A366" s="104">
        <v>1</v>
      </c>
      <c r="B366" s="109" t="s">
        <v>272</v>
      </c>
      <c r="C366" s="489" t="s">
        <v>363</v>
      </c>
      <c r="D366" s="20" t="s">
        <v>158</v>
      </c>
      <c r="E366" s="13"/>
      <c r="F366" s="31">
        <f>SUM(F367:F372)</f>
        <v>6491</v>
      </c>
      <c r="G366" s="2"/>
      <c r="H366" s="2"/>
      <c r="I366" s="2"/>
      <c r="J366" s="58"/>
    </row>
    <row r="367" spans="1:10" s="124" customFormat="1" ht="60" hidden="1" x14ac:dyDescent="0.25">
      <c r="A367" s="104">
        <v>1</v>
      </c>
      <c r="B367" s="109" t="s">
        <v>272</v>
      </c>
      <c r="C367" s="489" t="s">
        <v>363</v>
      </c>
      <c r="D367" s="631" t="s">
        <v>155</v>
      </c>
      <c r="E367" s="13"/>
      <c r="F367" s="2">
        <v>550</v>
      </c>
      <c r="G367" s="2"/>
      <c r="H367" s="2"/>
      <c r="I367" s="2"/>
      <c r="J367" s="58"/>
    </row>
    <row r="368" spans="1:10" s="124" customFormat="1" ht="60" hidden="1" x14ac:dyDescent="0.25">
      <c r="A368" s="104">
        <v>1</v>
      </c>
      <c r="B368" s="109" t="s">
        <v>272</v>
      </c>
      <c r="C368" s="489" t="s">
        <v>363</v>
      </c>
      <c r="D368" s="631" t="s">
        <v>161</v>
      </c>
      <c r="E368" s="13"/>
      <c r="F368" s="2">
        <v>50</v>
      </c>
      <c r="G368" s="2"/>
      <c r="H368" s="2"/>
      <c r="I368" s="2"/>
      <c r="J368" s="58"/>
    </row>
    <row r="369" spans="1:68" s="124" customFormat="1" ht="45" hidden="1" x14ac:dyDescent="0.25">
      <c r="A369" s="104"/>
      <c r="B369" s="109"/>
      <c r="C369" s="489" t="s">
        <v>363</v>
      </c>
      <c r="D369" s="631" t="s">
        <v>355</v>
      </c>
      <c r="E369" s="13"/>
      <c r="F369" s="2">
        <v>420</v>
      </c>
      <c r="G369" s="2"/>
      <c r="H369" s="2"/>
      <c r="I369" s="2"/>
      <c r="J369" s="58"/>
    </row>
    <row r="370" spans="1:68" s="124" customFormat="1" ht="45" hidden="1" x14ac:dyDescent="0.25">
      <c r="A370" s="104"/>
      <c r="B370" s="109"/>
      <c r="C370" s="489" t="s">
        <v>363</v>
      </c>
      <c r="D370" s="631" t="s">
        <v>339</v>
      </c>
      <c r="E370" s="13"/>
      <c r="F370" s="2">
        <v>1906</v>
      </c>
      <c r="G370" s="2"/>
      <c r="H370" s="2"/>
      <c r="I370" s="2"/>
      <c r="J370" s="58"/>
    </row>
    <row r="371" spans="1:68" s="124" customFormat="1" ht="75" hidden="1" x14ac:dyDescent="0.25">
      <c r="A371" s="104"/>
      <c r="B371" s="109"/>
      <c r="C371" s="489" t="s">
        <v>363</v>
      </c>
      <c r="D371" s="631" t="s">
        <v>347</v>
      </c>
      <c r="E371" s="13"/>
      <c r="F371" s="2">
        <v>65</v>
      </c>
      <c r="G371" s="2"/>
      <c r="H371" s="2"/>
      <c r="I371" s="2"/>
      <c r="J371" s="58"/>
    </row>
    <row r="372" spans="1:68" s="124" customFormat="1" ht="60" hidden="1" x14ac:dyDescent="0.25">
      <c r="A372" s="104"/>
      <c r="B372" s="109"/>
      <c r="C372" s="489" t="s">
        <v>363</v>
      </c>
      <c r="D372" s="35" t="s">
        <v>290</v>
      </c>
      <c r="E372" s="13"/>
      <c r="F372" s="2">
        <v>3500</v>
      </c>
      <c r="G372" s="2"/>
      <c r="H372" s="2"/>
      <c r="I372" s="2"/>
      <c r="J372" s="58"/>
    </row>
    <row r="373" spans="1:68" s="124" customFormat="1" hidden="1" x14ac:dyDescent="0.25">
      <c r="A373" s="104"/>
      <c r="B373" s="109" t="s">
        <v>272</v>
      </c>
      <c r="C373" s="489" t="s">
        <v>363</v>
      </c>
      <c r="D373" s="21" t="s">
        <v>198</v>
      </c>
      <c r="E373" s="13"/>
      <c r="F373" s="29">
        <f>F352</f>
        <v>65800</v>
      </c>
      <c r="G373" s="2"/>
      <c r="H373" s="2"/>
      <c r="I373" s="2"/>
    </row>
    <row r="374" spans="1:68" s="124" customFormat="1" ht="29.25" hidden="1" x14ac:dyDescent="0.25">
      <c r="A374" s="104"/>
      <c r="B374" s="109" t="s">
        <v>272</v>
      </c>
      <c r="C374" s="489" t="s">
        <v>363</v>
      </c>
      <c r="D374" s="21" t="s">
        <v>199</v>
      </c>
      <c r="E374" s="13"/>
      <c r="F374" s="29"/>
      <c r="G374" s="2"/>
      <c r="H374" s="2"/>
      <c r="I374" s="2"/>
    </row>
    <row r="375" spans="1:68" s="124" customFormat="1" hidden="1" x14ac:dyDescent="0.25">
      <c r="A375" s="104"/>
      <c r="B375" s="109" t="s">
        <v>272</v>
      </c>
      <c r="C375" s="489" t="s">
        <v>363</v>
      </c>
      <c r="D375" s="21" t="s">
        <v>200</v>
      </c>
      <c r="E375" s="13"/>
      <c r="F375" s="29">
        <f>F360</f>
        <v>21000</v>
      </c>
      <c r="G375" s="2"/>
      <c r="H375" s="2"/>
      <c r="I375" s="2"/>
    </row>
    <row r="376" spans="1:68" s="124" customFormat="1" ht="29.25" hidden="1" x14ac:dyDescent="0.25">
      <c r="A376" s="104"/>
      <c r="B376" s="109" t="s">
        <v>272</v>
      </c>
      <c r="C376" s="489" t="s">
        <v>363</v>
      </c>
      <c r="D376" s="21" t="s">
        <v>201</v>
      </c>
      <c r="E376" s="13"/>
      <c r="F376" s="29">
        <f>F363+F365</f>
        <v>600</v>
      </c>
      <c r="G376" s="2"/>
      <c r="H376" s="2"/>
      <c r="I376" s="2"/>
    </row>
    <row r="377" spans="1:68" s="124" customFormat="1" hidden="1" x14ac:dyDescent="0.25">
      <c r="A377" s="104"/>
      <c r="B377" s="109" t="s">
        <v>272</v>
      </c>
      <c r="C377" s="489" t="s">
        <v>363</v>
      </c>
      <c r="D377" s="22" t="s">
        <v>109</v>
      </c>
      <c r="E377" s="13"/>
      <c r="F377" s="29">
        <f>F373+F374+F361*2.9+F376</f>
        <v>127300</v>
      </c>
      <c r="G377" s="2"/>
      <c r="H377" s="2"/>
      <c r="I377" s="2"/>
    </row>
    <row r="378" spans="1:68" s="124" customFormat="1" hidden="1" x14ac:dyDescent="0.25">
      <c r="A378" s="104">
        <v>1</v>
      </c>
      <c r="B378" s="109" t="s">
        <v>272</v>
      </c>
      <c r="C378" s="489" t="s">
        <v>363</v>
      </c>
      <c r="D378" s="30" t="s">
        <v>7</v>
      </c>
      <c r="E378" s="121"/>
      <c r="F378" s="10"/>
      <c r="G378" s="2"/>
      <c r="H378" s="2"/>
      <c r="I378" s="2"/>
    </row>
    <row r="379" spans="1:68" s="124" customFormat="1" hidden="1" x14ac:dyDescent="0.25">
      <c r="A379" s="104">
        <v>1</v>
      </c>
      <c r="B379" s="109" t="s">
        <v>272</v>
      </c>
      <c r="C379" s="489" t="s">
        <v>363</v>
      </c>
      <c r="D379" s="40" t="s">
        <v>71</v>
      </c>
      <c r="E379" s="190"/>
      <c r="F379" s="2"/>
      <c r="G379" s="2"/>
      <c r="H379" s="2"/>
      <c r="I379" s="2"/>
    </row>
    <row r="380" spans="1:68" s="124" customFormat="1" hidden="1" x14ac:dyDescent="0.25">
      <c r="A380" s="104">
        <v>1</v>
      </c>
      <c r="B380" s="109" t="s">
        <v>272</v>
      </c>
      <c r="C380" s="489" t="s">
        <v>363</v>
      </c>
      <c r="D380" s="117" t="s">
        <v>49</v>
      </c>
      <c r="E380" s="354">
        <v>240</v>
      </c>
      <c r="F380" s="2">
        <v>150</v>
      </c>
      <c r="G380" s="355">
        <v>4</v>
      </c>
      <c r="H380" s="2">
        <f>ROUND(I380/E380,0)</f>
        <v>3</v>
      </c>
      <c r="I380" s="2">
        <f>ROUND(F380*G380,0)</f>
        <v>600</v>
      </c>
    </row>
    <row r="381" spans="1:68" s="124" customFormat="1" hidden="1" x14ac:dyDescent="0.25">
      <c r="A381" s="104">
        <v>1</v>
      </c>
      <c r="B381" s="109" t="s">
        <v>272</v>
      </c>
      <c r="C381" s="489" t="s">
        <v>363</v>
      </c>
      <c r="D381" s="117" t="s">
        <v>48</v>
      </c>
      <c r="E381" s="354">
        <v>240</v>
      </c>
      <c r="F381" s="2">
        <v>359</v>
      </c>
      <c r="G381" s="355">
        <v>9.5</v>
      </c>
      <c r="H381" s="2">
        <f>ROUND(I381/E381,0)</f>
        <v>14</v>
      </c>
      <c r="I381" s="2">
        <f>ROUND(F381*G381,0)</f>
        <v>3411</v>
      </c>
    </row>
    <row r="382" spans="1:68" s="124" customFormat="1" hidden="1" x14ac:dyDescent="0.25">
      <c r="A382" s="104">
        <v>1</v>
      </c>
      <c r="B382" s="109" t="s">
        <v>272</v>
      </c>
      <c r="C382" s="489" t="s">
        <v>363</v>
      </c>
      <c r="D382" s="139" t="s">
        <v>92</v>
      </c>
      <c r="E382" s="354"/>
      <c r="F382" s="31">
        <f>SUM(F380:F381)</f>
        <v>509</v>
      </c>
      <c r="G382" s="592">
        <f>I382/F382</f>
        <v>7.8801571709233791</v>
      </c>
      <c r="H382" s="31">
        <f>H380+H381</f>
        <v>17</v>
      </c>
      <c r="I382" s="31">
        <f>I380+I381</f>
        <v>4011</v>
      </c>
    </row>
    <row r="383" spans="1:68" hidden="1" x14ac:dyDescent="0.25">
      <c r="A383" s="104">
        <v>1</v>
      </c>
      <c r="B383" s="109" t="s">
        <v>272</v>
      </c>
      <c r="C383" s="489" t="s">
        <v>363</v>
      </c>
      <c r="D383" s="26" t="s">
        <v>86</v>
      </c>
      <c r="E383" s="190"/>
      <c r="F383" s="29">
        <f>F382</f>
        <v>509</v>
      </c>
      <c r="G383" s="604">
        <f>G382</f>
        <v>7.8801571709233791</v>
      </c>
      <c r="H383" s="29">
        <f>H382</f>
        <v>17</v>
      </c>
      <c r="I383" s="29">
        <f>I382</f>
        <v>4011</v>
      </c>
    </row>
    <row r="384" spans="1:68" s="598" customFormat="1" hidden="1" x14ac:dyDescent="0.25">
      <c r="A384" s="104">
        <v>1</v>
      </c>
      <c r="B384" s="109" t="s">
        <v>272</v>
      </c>
      <c r="C384" s="489" t="s">
        <v>363</v>
      </c>
      <c r="D384" s="611" t="s">
        <v>220</v>
      </c>
      <c r="E384" s="632"/>
      <c r="F384" s="632"/>
      <c r="G384" s="632"/>
      <c r="H384" s="632"/>
      <c r="I384" s="632"/>
      <c r="J384" s="124"/>
      <c r="K384" s="124"/>
      <c r="L384" s="124"/>
      <c r="M384" s="124"/>
      <c r="N384" s="124"/>
      <c r="O384" s="124"/>
      <c r="P384" s="124"/>
      <c r="Q384" s="124"/>
      <c r="R384" s="124"/>
      <c r="S384" s="124"/>
      <c r="T384" s="124"/>
      <c r="U384" s="124"/>
      <c r="V384" s="124"/>
      <c r="W384" s="124"/>
      <c r="X384" s="124"/>
      <c r="Y384" s="124"/>
      <c r="Z384" s="124"/>
      <c r="AA384" s="124"/>
      <c r="AB384" s="124"/>
      <c r="AC384" s="124"/>
      <c r="AD384" s="124"/>
      <c r="AE384" s="124"/>
      <c r="AF384" s="124"/>
      <c r="AG384" s="124"/>
      <c r="AH384" s="124"/>
      <c r="AI384" s="124"/>
      <c r="AJ384" s="124"/>
      <c r="AK384" s="124"/>
      <c r="AL384" s="124"/>
      <c r="AM384" s="124"/>
      <c r="AN384" s="124"/>
      <c r="AO384" s="124"/>
      <c r="AP384" s="124"/>
      <c r="AQ384" s="124"/>
      <c r="AR384" s="124"/>
      <c r="AS384" s="124"/>
      <c r="AT384" s="124"/>
      <c r="AU384" s="124"/>
      <c r="AV384" s="124"/>
      <c r="AW384" s="124"/>
      <c r="AX384" s="124"/>
      <c r="AY384" s="124"/>
      <c r="AZ384" s="124"/>
      <c r="BA384" s="124"/>
      <c r="BB384" s="124"/>
      <c r="BC384" s="124"/>
      <c r="BD384" s="124"/>
      <c r="BE384" s="124"/>
      <c r="BF384" s="124"/>
      <c r="BG384" s="124"/>
      <c r="BH384" s="124"/>
      <c r="BI384" s="124"/>
      <c r="BJ384" s="124"/>
      <c r="BK384" s="124"/>
      <c r="BL384" s="124"/>
      <c r="BM384" s="124"/>
      <c r="BN384" s="124"/>
      <c r="BO384" s="124"/>
      <c r="BP384" s="124"/>
    </row>
    <row r="385" spans="1:68" hidden="1" x14ac:dyDescent="0.25">
      <c r="A385" s="104">
        <v>1</v>
      </c>
      <c r="C385" s="489" t="s">
        <v>363</v>
      </c>
      <c r="D385" s="613"/>
      <c r="E385" s="599"/>
      <c r="F385" s="2"/>
      <c r="G385" s="2"/>
      <c r="H385" s="2"/>
      <c r="I385" s="2"/>
      <c r="J385" s="124"/>
      <c r="K385" s="124"/>
      <c r="L385" s="124"/>
      <c r="M385" s="124"/>
      <c r="N385" s="124"/>
      <c r="O385" s="124"/>
      <c r="P385" s="124"/>
      <c r="Q385" s="124"/>
      <c r="R385" s="124"/>
      <c r="S385" s="124"/>
      <c r="T385" s="124"/>
      <c r="U385" s="124"/>
      <c r="V385" s="124"/>
      <c r="W385" s="124"/>
      <c r="X385" s="124"/>
      <c r="Y385" s="124"/>
      <c r="Z385" s="124"/>
      <c r="AA385" s="124"/>
      <c r="AB385" s="124"/>
      <c r="AC385" s="124"/>
      <c r="AD385" s="124"/>
      <c r="AE385" s="124"/>
      <c r="AF385" s="124"/>
      <c r="AG385" s="124"/>
      <c r="AH385" s="124"/>
      <c r="AI385" s="124"/>
      <c r="AJ385" s="124"/>
      <c r="AK385" s="124"/>
      <c r="AL385" s="124"/>
      <c r="AM385" s="124"/>
      <c r="AN385" s="124"/>
      <c r="AO385" s="124"/>
      <c r="AP385" s="124"/>
      <c r="AQ385" s="124"/>
      <c r="AR385" s="124"/>
      <c r="AS385" s="124"/>
      <c r="AT385" s="124"/>
      <c r="AU385" s="124"/>
      <c r="AV385" s="124"/>
      <c r="AW385" s="124"/>
      <c r="AX385" s="124"/>
      <c r="AY385" s="124"/>
      <c r="AZ385" s="124"/>
      <c r="BA385" s="124"/>
      <c r="BB385" s="124"/>
      <c r="BC385" s="124"/>
      <c r="BD385" s="124"/>
      <c r="BE385" s="124"/>
      <c r="BF385" s="124"/>
      <c r="BG385" s="124"/>
      <c r="BH385" s="124"/>
      <c r="BI385" s="124"/>
      <c r="BJ385" s="124"/>
      <c r="BK385" s="124"/>
      <c r="BL385" s="124"/>
      <c r="BM385" s="124"/>
      <c r="BN385" s="124"/>
      <c r="BO385" s="124"/>
      <c r="BP385" s="124"/>
    </row>
    <row r="386" spans="1:68" ht="31.5" hidden="1" x14ac:dyDescent="0.25">
      <c r="A386" s="104">
        <v>1</v>
      </c>
      <c r="B386" s="109" t="s">
        <v>273</v>
      </c>
      <c r="C386" s="489" t="s">
        <v>363</v>
      </c>
      <c r="D386" s="678" t="s">
        <v>409</v>
      </c>
      <c r="E386" s="190"/>
      <c r="F386" s="2"/>
      <c r="G386" s="2"/>
      <c r="H386" s="2"/>
      <c r="I386" s="2"/>
      <c r="J386" s="124"/>
      <c r="K386" s="124"/>
      <c r="L386" s="124"/>
      <c r="M386" s="124"/>
      <c r="N386" s="124"/>
      <c r="O386" s="124"/>
      <c r="P386" s="124"/>
      <c r="Q386" s="124"/>
      <c r="R386" s="124"/>
      <c r="S386" s="124"/>
      <c r="T386" s="124"/>
      <c r="U386" s="124"/>
      <c r="V386" s="124"/>
      <c r="W386" s="124"/>
      <c r="X386" s="124"/>
      <c r="Y386" s="124"/>
      <c r="Z386" s="124"/>
      <c r="AA386" s="124"/>
      <c r="AB386" s="124"/>
      <c r="AC386" s="124"/>
      <c r="AD386" s="124"/>
      <c r="AE386" s="124"/>
      <c r="AF386" s="124"/>
      <c r="AG386" s="124"/>
      <c r="AH386" s="124"/>
      <c r="AI386" s="124"/>
      <c r="AJ386" s="124"/>
      <c r="AK386" s="124"/>
      <c r="AL386" s="124"/>
      <c r="AM386" s="124"/>
      <c r="AN386" s="124"/>
      <c r="AO386" s="124"/>
      <c r="AP386" s="124"/>
      <c r="AQ386" s="124"/>
      <c r="AR386" s="124"/>
      <c r="AS386" s="124"/>
      <c r="AT386" s="124"/>
      <c r="AU386" s="124"/>
      <c r="AV386" s="124"/>
      <c r="AW386" s="124"/>
      <c r="AX386" s="124"/>
      <c r="AY386" s="124"/>
      <c r="AZ386" s="124"/>
      <c r="BA386" s="124"/>
      <c r="BB386" s="124"/>
      <c r="BC386" s="124"/>
      <c r="BD386" s="124"/>
      <c r="BE386" s="124"/>
      <c r="BF386" s="124"/>
      <c r="BG386" s="124"/>
      <c r="BH386" s="124"/>
      <c r="BI386" s="124"/>
      <c r="BJ386" s="124"/>
      <c r="BK386" s="124"/>
      <c r="BL386" s="124"/>
      <c r="BM386" s="124"/>
      <c r="BN386" s="124"/>
      <c r="BO386" s="124"/>
      <c r="BP386" s="124"/>
    </row>
    <row r="387" spans="1:68" hidden="1" x14ac:dyDescent="0.25">
      <c r="A387" s="104">
        <v>1</v>
      </c>
      <c r="B387" s="109" t="s">
        <v>273</v>
      </c>
      <c r="C387" s="489" t="s">
        <v>363</v>
      </c>
      <c r="D387" s="112" t="s">
        <v>4</v>
      </c>
      <c r="E387" s="190"/>
      <c r="F387" s="2"/>
      <c r="G387" s="2"/>
      <c r="H387" s="2"/>
      <c r="I387" s="2"/>
      <c r="J387" s="124"/>
      <c r="K387" s="124"/>
      <c r="L387" s="124"/>
      <c r="M387" s="124"/>
      <c r="N387" s="124"/>
      <c r="O387" s="124"/>
      <c r="P387" s="124"/>
      <c r="Q387" s="124"/>
      <c r="R387" s="124"/>
      <c r="S387" s="124"/>
      <c r="T387" s="124"/>
      <c r="U387" s="124"/>
      <c r="V387" s="124"/>
      <c r="W387" s="124"/>
      <c r="X387" s="124"/>
      <c r="Y387" s="124"/>
      <c r="Z387" s="124"/>
      <c r="AA387" s="124"/>
      <c r="AB387" s="124"/>
      <c r="AC387" s="124"/>
      <c r="AD387" s="124"/>
      <c r="AE387" s="124"/>
      <c r="AF387" s="124"/>
      <c r="AG387" s="124"/>
      <c r="AH387" s="124"/>
      <c r="AI387" s="124"/>
      <c r="AJ387" s="124"/>
      <c r="AK387" s="124"/>
      <c r="AL387" s="124"/>
      <c r="AM387" s="124"/>
      <c r="AN387" s="124"/>
      <c r="AO387" s="124"/>
      <c r="AP387" s="124"/>
      <c r="AQ387" s="124"/>
      <c r="AR387" s="124"/>
      <c r="AS387" s="124"/>
      <c r="AT387" s="124"/>
      <c r="AU387" s="124"/>
      <c r="AV387" s="124"/>
      <c r="AW387" s="124"/>
      <c r="AX387" s="124"/>
      <c r="AY387" s="124"/>
      <c r="AZ387" s="124"/>
      <c r="BA387" s="124"/>
      <c r="BB387" s="124"/>
      <c r="BC387" s="124"/>
      <c r="BD387" s="124"/>
      <c r="BE387" s="124"/>
      <c r="BF387" s="124"/>
      <c r="BG387" s="124"/>
      <c r="BH387" s="124"/>
      <c r="BI387" s="124"/>
      <c r="BJ387" s="124"/>
      <c r="BK387" s="124"/>
      <c r="BL387" s="124"/>
      <c r="BM387" s="124"/>
      <c r="BN387" s="124"/>
      <c r="BO387" s="124"/>
      <c r="BP387" s="124"/>
    </row>
    <row r="388" spans="1:68" hidden="1" x14ac:dyDescent="0.25">
      <c r="A388" s="104">
        <v>1</v>
      </c>
      <c r="B388" s="109" t="s">
        <v>273</v>
      </c>
      <c r="C388" s="489" t="s">
        <v>363</v>
      </c>
      <c r="D388" s="117" t="s">
        <v>77</v>
      </c>
      <c r="E388" s="354">
        <v>340</v>
      </c>
      <c r="F388" s="2">
        <f>853-2</f>
        <v>851</v>
      </c>
      <c r="G388" s="355">
        <v>14</v>
      </c>
      <c r="H388" s="2">
        <f>ROUND(I388/E388,0)</f>
        <v>35</v>
      </c>
      <c r="I388" s="2">
        <f>ROUND(F388*G388,0)</f>
        <v>11914</v>
      </c>
      <c r="J388" s="124"/>
      <c r="K388" s="124"/>
      <c r="L388" s="124"/>
      <c r="M388" s="124"/>
      <c r="N388" s="124"/>
      <c r="O388" s="124"/>
      <c r="P388" s="124"/>
      <c r="Q388" s="124"/>
      <c r="R388" s="124"/>
      <c r="S388" s="124"/>
      <c r="T388" s="124"/>
      <c r="U388" s="124"/>
      <c r="V388" s="124"/>
      <c r="W388" s="124"/>
      <c r="X388" s="124"/>
      <c r="Y388" s="124"/>
      <c r="Z388" s="124"/>
      <c r="AA388" s="124"/>
      <c r="AB388" s="124"/>
      <c r="AC388" s="124"/>
      <c r="AD388" s="124"/>
      <c r="AE388" s="124"/>
      <c r="AF388" s="124"/>
      <c r="AG388" s="124"/>
      <c r="AH388" s="124"/>
      <c r="AI388" s="124"/>
      <c r="AJ388" s="124"/>
      <c r="AK388" s="124"/>
      <c r="AL388" s="124"/>
      <c r="AM388" s="124"/>
      <c r="AN388" s="124"/>
      <c r="AO388" s="124"/>
      <c r="AP388" s="124"/>
      <c r="AQ388" s="124"/>
      <c r="AR388" s="124"/>
      <c r="AS388" s="124"/>
      <c r="AT388" s="124"/>
      <c r="AU388" s="124"/>
      <c r="AV388" s="124"/>
      <c r="AW388" s="124"/>
      <c r="AX388" s="124"/>
      <c r="AY388" s="124"/>
      <c r="AZ388" s="124"/>
      <c r="BA388" s="124"/>
      <c r="BB388" s="124"/>
      <c r="BC388" s="124"/>
      <c r="BD388" s="124"/>
      <c r="BE388" s="124"/>
      <c r="BF388" s="124"/>
      <c r="BG388" s="124"/>
      <c r="BH388" s="124"/>
      <c r="BI388" s="124"/>
      <c r="BJ388" s="124"/>
      <c r="BK388" s="124"/>
      <c r="BL388" s="124"/>
      <c r="BM388" s="124"/>
      <c r="BN388" s="124"/>
      <c r="BO388" s="124"/>
      <c r="BP388" s="124"/>
    </row>
    <row r="389" spans="1:68" hidden="1" x14ac:dyDescent="0.25">
      <c r="A389" s="104">
        <v>1</v>
      </c>
      <c r="B389" s="109" t="s">
        <v>273</v>
      </c>
      <c r="C389" s="489" t="s">
        <v>363</v>
      </c>
      <c r="D389" s="117" t="s">
        <v>84</v>
      </c>
      <c r="E389" s="354">
        <v>340</v>
      </c>
      <c r="F389" s="2">
        <v>2169</v>
      </c>
      <c r="G389" s="355">
        <v>7.8</v>
      </c>
      <c r="H389" s="2">
        <f>ROUND(I389/E389,0)</f>
        <v>50</v>
      </c>
      <c r="I389" s="2">
        <f>ROUND(F389*G389,0)</f>
        <v>16918</v>
      </c>
      <c r="J389" s="124"/>
      <c r="K389" s="124"/>
      <c r="L389" s="124"/>
      <c r="M389" s="124"/>
      <c r="N389" s="124"/>
      <c r="O389" s="124"/>
      <c r="P389" s="124"/>
      <c r="Q389" s="124"/>
      <c r="R389" s="124"/>
      <c r="S389" s="124"/>
      <c r="T389" s="124"/>
      <c r="U389" s="124"/>
      <c r="V389" s="124"/>
      <c r="W389" s="124"/>
      <c r="X389" s="124"/>
      <c r="Y389" s="124"/>
      <c r="Z389" s="124"/>
      <c r="AA389" s="124"/>
      <c r="AB389" s="124"/>
      <c r="AC389" s="124"/>
      <c r="AD389" s="124"/>
      <c r="AE389" s="124"/>
      <c r="AF389" s="124"/>
      <c r="AG389" s="124"/>
      <c r="AH389" s="124"/>
      <c r="AI389" s="124"/>
      <c r="AJ389" s="124"/>
      <c r="AK389" s="124"/>
      <c r="AL389" s="124"/>
      <c r="AM389" s="124"/>
      <c r="AN389" s="124"/>
      <c r="AO389" s="124"/>
      <c r="AP389" s="124"/>
      <c r="AQ389" s="124"/>
      <c r="AR389" s="124"/>
      <c r="AS389" s="124"/>
      <c r="AT389" s="124"/>
      <c r="AU389" s="124"/>
      <c r="AV389" s="124"/>
      <c r="AW389" s="124"/>
      <c r="AX389" s="124"/>
      <c r="AY389" s="124"/>
      <c r="AZ389" s="124"/>
      <c r="BA389" s="124"/>
      <c r="BB389" s="124"/>
      <c r="BC389" s="124"/>
      <c r="BD389" s="124"/>
      <c r="BE389" s="124"/>
      <c r="BF389" s="124"/>
      <c r="BG389" s="124"/>
      <c r="BH389" s="124"/>
      <c r="BI389" s="124"/>
      <c r="BJ389" s="124"/>
      <c r="BK389" s="124"/>
      <c r="BL389" s="124"/>
      <c r="BM389" s="124"/>
      <c r="BN389" s="124"/>
      <c r="BO389" s="124"/>
      <c r="BP389" s="124"/>
    </row>
    <row r="390" spans="1:68" s="124" customFormat="1" hidden="1" x14ac:dyDescent="0.25">
      <c r="A390" s="104">
        <v>1</v>
      </c>
      <c r="B390" s="109" t="s">
        <v>273</v>
      </c>
      <c r="C390" s="489" t="s">
        <v>363</v>
      </c>
      <c r="D390" s="589" t="s">
        <v>5</v>
      </c>
      <c r="E390" s="190"/>
      <c r="F390" s="29">
        <f>SUM(F388:F389)</f>
        <v>3020</v>
      </c>
      <c r="G390" s="143">
        <f>I390/F390</f>
        <v>9.5470198675496682</v>
      </c>
      <c r="H390" s="29">
        <f>H388+H389</f>
        <v>85</v>
      </c>
      <c r="I390" s="29">
        <f>I388+I389</f>
        <v>28832</v>
      </c>
      <c r="J390" s="191">
        <f>F390-F391</f>
        <v>2978</v>
      </c>
    </row>
    <row r="391" spans="1:68" s="124" customFormat="1" hidden="1" x14ac:dyDescent="0.25">
      <c r="A391" s="104">
        <v>1</v>
      </c>
      <c r="B391" s="109" t="s">
        <v>273</v>
      </c>
      <c r="C391" s="489" t="s">
        <v>363</v>
      </c>
      <c r="D391" s="120" t="s">
        <v>213</v>
      </c>
      <c r="E391" s="281"/>
      <c r="F391" s="29">
        <v>42</v>
      </c>
      <c r="G391" s="143"/>
      <c r="H391" s="29"/>
      <c r="I391" s="29"/>
      <c r="J391" s="191"/>
    </row>
    <row r="392" spans="1:68" s="124" customFormat="1" hidden="1" x14ac:dyDescent="0.25">
      <c r="A392" s="104">
        <v>1</v>
      </c>
      <c r="B392" s="109" t="s">
        <v>273</v>
      </c>
      <c r="C392" s="489" t="s">
        <v>363</v>
      </c>
      <c r="D392" s="12" t="s">
        <v>108</v>
      </c>
      <c r="E392" s="41"/>
      <c r="F392" s="29"/>
      <c r="G392" s="2"/>
      <c r="H392" s="2"/>
      <c r="I392" s="2"/>
      <c r="J392" s="191"/>
    </row>
    <row r="393" spans="1:68" s="124" customFormat="1" hidden="1" x14ac:dyDescent="0.25">
      <c r="A393" s="104"/>
      <c r="B393" s="109" t="s">
        <v>273</v>
      </c>
      <c r="C393" s="489" t="s">
        <v>363</v>
      </c>
      <c r="D393" s="14" t="s">
        <v>296</v>
      </c>
      <c r="E393" s="41"/>
      <c r="F393" s="29">
        <f>F395+F399</f>
        <v>25200</v>
      </c>
      <c r="G393" s="2"/>
      <c r="H393" s="2"/>
      <c r="I393" s="2"/>
      <c r="J393" s="58"/>
    </row>
    <row r="394" spans="1:68" s="124" customFormat="1" hidden="1" x14ac:dyDescent="0.25">
      <c r="A394" s="104"/>
      <c r="B394" s="109" t="s">
        <v>273</v>
      </c>
      <c r="C394" s="489" t="s">
        <v>363</v>
      </c>
      <c r="D394" s="15" t="s">
        <v>297</v>
      </c>
      <c r="E394" s="41"/>
      <c r="F394" s="29"/>
      <c r="G394" s="2"/>
      <c r="H394" s="2"/>
      <c r="I394" s="2"/>
      <c r="J394" s="58"/>
    </row>
    <row r="395" spans="1:68" s="124" customFormat="1" ht="30" hidden="1" x14ac:dyDescent="0.25">
      <c r="A395" s="104"/>
      <c r="B395" s="109" t="s">
        <v>273</v>
      </c>
      <c r="C395" s="489" t="s">
        <v>363</v>
      </c>
      <c r="D395" s="16" t="s">
        <v>298</v>
      </c>
      <c r="E395" s="41"/>
      <c r="F395" s="29">
        <f>F396</f>
        <v>25000</v>
      </c>
      <c r="G395" s="2"/>
      <c r="H395" s="2"/>
      <c r="I395" s="2"/>
      <c r="J395" s="58"/>
    </row>
    <row r="396" spans="1:68" s="124" customFormat="1" hidden="1" x14ac:dyDescent="0.25">
      <c r="A396" s="104"/>
      <c r="B396" s="109" t="s">
        <v>273</v>
      </c>
      <c r="C396" s="489" t="s">
        <v>363</v>
      </c>
      <c r="D396" s="15" t="s">
        <v>299</v>
      </c>
      <c r="E396" s="13"/>
      <c r="F396" s="17">
        <v>25000</v>
      </c>
      <c r="G396" s="10"/>
      <c r="H396" s="10"/>
      <c r="I396" s="10"/>
      <c r="J396" s="58"/>
    </row>
    <row r="397" spans="1:68" s="124" customFormat="1" ht="45" hidden="1" x14ac:dyDescent="0.25">
      <c r="A397" s="104"/>
      <c r="B397" s="109" t="s">
        <v>273</v>
      </c>
      <c r="C397" s="489" t="s">
        <v>363</v>
      </c>
      <c r="D397" s="15" t="s">
        <v>301</v>
      </c>
      <c r="E397" s="41"/>
      <c r="F397" s="2"/>
      <c r="G397" s="2"/>
      <c r="H397" s="2"/>
      <c r="I397" s="2"/>
      <c r="J397" s="58"/>
    </row>
    <row r="398" spans="1:68" s="124" customFormat="1" ht="45" hidden="1" x14ac:dyDescent="0.25">
      <c r="A398" s="104"/>
      <c r="B398" s="109" t="s">
        <v>273</v>
      </c>
      <c r="C398" s="489" t="s">
        <v>363</v>
      </c>
      <c r="D398" s="15" t="s">
        <v>309</v>
      </c>
      <c r="E398" s="41"/>
      <c r="F398" s="2"/>
      <c r="G398" s="2"/>
      <c r="H398" s="2"/>
      <c r="I398" s="2"/>
      <c r="J398" s="58"/>
    </row>
    <row r="399" spans="1:68" s="124" customFormat="1" ht="45" hidden="1" x14ac:dyDescent="0.25">
      <c r="A399" s="104"/>
      <c r="B399" s="109" t="s">
        <v>273</v>
      </c>
      <c r="C399" s="489" t="s">
        <v>363</v>
      </c>
      <c r="D399" s="18" t="s">
        <v>310</v>
      </c>
      <c r="E399" s="41"/>
      <c r="F399" s="2">
        <v>200</v>
      </c>
      <c r="G399" s="2"/>
      <c r="H399" s="2"/>
      <c r="I399" s="2"/>
      <c r="J399" s="58"/>
    </row>
    <row r="400" spans="1:68" s="124" customFormat="1" hidden="1" x14ac:dyDescent="0.25">
      <c r="A400" s="104"/>
      <c r="B400" s="109" t="s">
        <v>273</v>
      </c>
      <c r="C400" s="489" t="s">
        <v>363</v>
      </c>
      <c r="D400" s="14" t="s">
        <v>303</v>
      </c>
      <c r="E400" s="41"/>
      <c r="F400" s="2"/>
      <c r="G400" s="2"/>
      <c r="H400" s="2"/>
      <c r="I400" s="2"/>
      <c r="J400" s="58"/>
    </row>
    <row r="401" spans="1:10" s="124" customFormat="1" ht="29.25" hidden="1" x14ac:dyDescent="0.25">
      <c r="A401" s="104"/>
      <c r="B401" s="109" t="s">
        <v>273</v>
      </c>
      <c r="C401" s="489" t="s">
        <v>363</v>
      </c>
      <c r="D401" s="14" t="s">
        <v>306</v>
      </c>
      <c r="E401" s="41"/>
      <c r="F401" s="29"/>
      <c r="G401" s="2"/>
      <c r="H401" s="2"/>
      <c r="I401" s="2"/>
      <c r="J401" s="58"/>
    </row>
    <row r="402" spans="1:10" s="124" customFormat="1" hidden="1" x14ac:dyDescent="0.25">
      <c r="A402" s="104"/>
      <c r="B402" s="109" t="s">
        <v>273</v>
      </c>
      <c r="C402" s="489" t="s">
        <v>363</v>
      </c>
      <c r="D402" s="19" t="s">
        <v>115</v>
      </c>
      <c r="E402" s="41"/>
      <c r="F402" s="29"/>
      <c r="G402" s="2"/>
      <c r="H402" s="2"/>
      <c r="I402" s="2"/>
      <c r="J402" s="58"/>
    </row>
    <row r="403" spans="1:10" s="124" customFormat="1" ht="57.75" hidden="1" x14ac:dyDescent="0.25">
      <c r="A403" s="104"/>
      <c r="B403" s="109" t="s">
        <v>273</v>
      </c>
      <c r="C403" s="489" t="s">
        <v>363</v>
      </c>
      <c r="D403" s="14" t="s">
        <v>307</v>
      </c>
      <c r="E403" s="41"/>
      <c r="F403" s="29"/>
      <c r="G403" s="2"/>
      <c r="H403" s="2"/>
      <c r="I403" s="2"/>
      <c r="J403" s="58"/>
    </row>
    <row r="404" spans="1:10" s="124" customFormat="1" hidden="1" x14ac:dyDescent="0.25">
      <c r="A404" s="104"/>
      <c r="B404" s="109" t="s">
        <v>273</v>
      </c>
      <c r="C404" s="489" t="s">
        <v>363</v>
      </c>
      <c r="D404" s="20" t="s">
        <v>158</v>
      </c>
      <c r="E404" s="41"/>
      <c r="F404" s="29">
        <f>SUM(F405:F418)</f>
        <v>13549</v>
      </c>
      <c r="G404" s="2"/>
      <c r="H404" s="2"/>
      <c r="I404" s="2"/>
      <c r="J404" s="58"/>
    </row>
    <row r="405" spans="1:10" s="124" customFormat="1" hidden="1" x14ac:dyDescent="0.25">
      <c r="A405" s="104">
        <v>1</v>
      </c>
      <c r="B405" s="109" t="s">
        <v>273</v>
      </c>
      <c r="C405" s="489" t="s">
        <v>363</v>
      </c>
      <c r="D405" s="32" t="s">
        <v>140</v>
      </c>
      <c r="E405" s="13"/>
      <c r="F405" s="2">
        <f>130-14</f>
        <v>116</v>
      </c>
      <c r="G405" s="2"/>
      <c r="H405" s="2"/>
      <c r="I405" s="2"/>
      <c r="J405" s="58"/>
    </row>
    <row r="406" spans="1:10" s="124" customFormat="1" hidden="1" x14ac:dyDescent="0.25">
      <c r="A406" s="104">
        <v>1</v>
      </c>
      <c r="B406" s="109" t="s">
        <v>273</v>
      </c>
      <c r="C406" s="489" t="s">
        <v>363</v>
      </c>
      <c r="D406" s="32" t="s">
        <v>17</v>
      </c>
      <c r="E406" s="13"/>
      <c r="F406" s="2">
        <v>2600</v>
      </c>
      <c r="G406" s="2"/>
      <c r="H406" s="2"/>
      <c r="I406" s="2"/>
      <c r="J406" s="58"/>
    </row>
    <row r="407" spans="1:10" s="124" customFormat="1" ht="30" hidden="1" x14ac:dyDescent="0.25">
      <c r="A407" s="104">
        <v>1</v>
      </c>
      <c r="B407" s="109" t="s">
        <v>273</v>
      </c>
      <c r="C407" s="489" t="s">
        <v>363</v>
      </c>
      <c r="D407" s="32" t="s">
        <v>28</v>
      </c>
      <c r="E407" s="13"/>
      <c r="F407" s="2">
        <v>3000</v>
      </c>
      <c r="G407" s="2"/>
      <c r="H407" s="2"/>
      <c r="I407" s="2"/>
      <c r="J407" s="58"/>
    </row>
    <row r="408" spans="1:10" s="124" customFormat="1" ht="30" hidden="1" x14ac:dyDescent="0.25">
      <c r="A408" s="104">
        <v>1</v>
      </c>
      <c r="B408" s="109" t="s">
        <v>273</v>
      </c>
      <c r="C408" s="489" t="s">
        <v>363</v>
      </c>
      <c r="D408" s="32" t="s">
        <v>286</v>
      </c>
      <c r="E408" s="13"/>
      <c r="F408" s="2"/>
      <c r="G408" s="2"/>
      <c r="H408" s="2"/>
      <c r="I408" s="2"/>
      <c r="J408" s="58"/>
    </row>
    <row r="409" spans="1:10" s="124" customFormat="1" ht="45" hidden="1" x14ac:dyDescent="0.25">
      <c r="A409" s="104"/>
      <c r="B409" s="109" t="s">
        <v>273</v>
      </c>
      <c r="C409" s="489" t="s">
        <v>363</v>
      </c>
      <c r="D409" s="32" t="s">
        <v>285</v>
      </c>
      <c r="E409" s="13"/>
      <c r="F409" s="2"/>
      <c r="G409" s="2"/>
      <c r="H409" s="2"/>
      <c r="I409" s="2"/>
      <c r="J409" s="58"/>
    </row>
    <row r="410" spans="1:10" s="124" customFormat="1" ht="45" hidden="1" x14ac:dyDescent="0.25">
      <c r="A410" s="104"/>
      <c r="B410" s="109" t="s">
        <v>273</v>
      </c>
      <c r="C410" s="489" t="s">
        <v>363</v>
      </c>
      <c r="D410" s="32" t="s">
        <v>214</v>
      </c>
      <c r="E410" s="13"/>
      <c r="F410" s="2"/>
      <c r="G410" s="2"/>
      <c r="H410" s="2"/>
      <c r="I410" s="2"/>
      <c r="J410" s="58"/>
    </row>
    <row r="411" spans="1:10" s="124" customFormat="1" ht="45" hidden="1" x14ac:dyDescent="0.25">
      <c r="A411" s="104"/>
      <c r="B411" s="109" t="s">
        <v>273</v>
      </c>
      <c r="C411" s="489" t="s">
        <v>363</v>
      </c>
      <c r="D411" s="32" t="s">
        <v>287</v>
      </c>
      <c r="E411" s="13"/>
      <c r="F411" s="2"/>
      <c r="G411" s="2"/>
      <c r="H411" s="2"/>
      <c r="I411" s="2"/>
      <c r="J411" s="58"/>
    </row>
    <row r="412" spans="1:10" s="124" customFormat="1" ht="45" hidden="1" x14ac:dyDescent="0.25">
      <c r="A412" s="104"/>
      <c r="B412" s="109"/>
      <c r="C412" s="489" t="s">
        <v>363</v>
      </c>
      <c r="D412" s="32" t="s">
        <v>331</v>
      </c>
      <c r="E412" s="13"/>
      <c r="F412" s="2"/>
      <c r="G412" s="2"/>
      <c r="H412" s="2"/>
      <c r="I412" s="2"/>
      <c r="J412" s="58"/>
    </row>
    <row r="413" spans="1:10" s="124" customFormat="1" ht="75" hidden="1" x14ac:dyDescent="0.25">
      <c r="A413" s="104"/>
      <c r="B413" s="109"/>
      <c r="C413" s="489" t="s">
        <v>363</v>
      </c>
      <c r="D413" s="127" t="s">
        <v>321</v>
      </c>
      <c r="E413" s="13"/>
      <c r="F413" s="2">
        <v>250</v>
      </c>
      <c r="G413" s="2"/>
      <c r="H413" s="2"/>
      <c r="I413" s="2"/>
      <c r="J413" s="58"/>
    </row>
    <row r="414" spans="1:10" s="58" customFormat="1" ht="45" hidden="1" x14ac:dyDescent="0.25">
      <c r="A414" s="104"/>
      <c r="B414" s="109"/>
      <c r="C414" s="489" t="s">
        <v>363</v>
      </c>
      <c r="D414" s="32" t="s">
        <v>218</v>
      </c>
      <c r="E414" s="41"/>
      <c r="F414" s="2">
        <v>160</v>
      </c>
      <c r="G414" s="465"/>
      <c r="H414" s="465"/>
      <c r="I414" s="465"/>
    </row>
    <row r="415" spans="1:10" s="124" customFormat="1" ht="30" hidden="1" x14ac:dyDescent="0.25">
      <c r="A415" s="104"/>
      <c r="B415" s="109" t="s">
        <v>273</v>
      </c>
      <c r="C415" s="489" t="s">
        <v>363</v>
      </c>
      <c r="D415" s="32" t="s">
        <v>135</v>
      </c>
      <c r="E415" s="13"/>
      <c r="F415" s="2">
        <v>3000</v>
      </c>
      <c r="G415" s="2"/>
      <c r="H415" s="2"/>
      <c r="I415" s="2"/>
      <c r="J415" s="58"/>
    </row>
    <row r="416" spans="1:10" s="124" customFormat="1" hidden="1" x14ac:dyDescent="0.25">
      <c r="A416" s="104"/>
      <c r="B416" s="109"/>
      <c r="C416" s="489" t="s">
        <v>363</v>
      </c>
      <c r="D416" s="32" t="s">
        <v>330</v>
      </c>
      <c r="E416" s="13"/>
      <c r="F416" s="2">
        <v>330</v>
      </c>
      <c r="G416" s="2"/>
      <c r="H416" s="2"/>
      <c r="I416" s="2"/>
      <c r="J416" s="58"/>
    </row>
    <row r="417" spans="1:10" s="124" customFormat="1" hidden="1" x14ac:dyDescent="0.25">
      <c r="A417" s="104"/>
      <c r="B417" s="109"/>
      <c r="C417" s="489" t="s">
        <v>363</v>
      </c>
      <c r="D417" s="32" t="s">
        <v>50</v>
      </c>
      <c r="E417" s="13"/>
      <c r="F417" s="2">
        <v>1570</v>
      </c>
      <c r="G417" s="2"/>
      <c r="H417" s="2"/>
      <c r="I417" s="2"/>
      <c r="J417" s="58"/>
    </row>
    <row r="418" spans="1:10" s="124" customFormat="1" hidden="1" x14ac:dyDescent="0.25">
      <c r="A418" s="104"/>
      <c r="B418" s="109"/>
      <c r="C418" s="489" t="s">
        <v>363</v>
      </c>
      <c r="D418" s="32" t="s">
        <v>27</v>
      </c>
      <c r="E418" s="13"/>
      <c r="F418" s="2">
        <f>3000-477</f>
        <v>2523</v>
      </c>
      <c r="G418" s="2"/>
      <c r="H418" s="2"/>
      <c r="I418" s="2"/>
      <c r="J418" s="58"/>
    </row>
    <row r="419" spans="1:10" s="124" customFormat="1" hidden="1" x14ac:dyDescent="0.25">
      <c r="A419" s="104"/>
      <c r="B419" s="109" t="s">
        <v>273</v>
      </c>
      <c r="C419" s="489" t="s">
        <v>363</v>
      </c>
      <c r="D419" s="21" t="s">
        <v>198</v>
      </c>
      <c r="E419" s="13"/>
      <c r="F419" s="29">
        <f>F393</f>
        <v>25200</v>
      </c>
      <c r="G419" s="2"/>
      <c r="H419" s="2"/>
      <c r="I419" s="2"/>
    </row>
    <row r="420" spans="1:10" s="124" customFormat="1" ht="29.25" hidden="1" x14ac:dyDescent="0.25">
      <c r="A420" s="104"/>
      <c r="B420" s="109" t="s">
        <v>273</v>
      </c>
      <c r="C420" s="489" t="s">
        <v>363</v>
      </c>
      <c r="D420" s="21" t="s">
        <v>199</v>
      </c>
      <c r="E420" s="13"/>
      <c r="F420" s="29"/>
      <c r="G420" s="2"/>
      <c r="H420" s="2"/>
      <c r="I420" s="2"/>
    </row>
    <row r="421" spans="1:10" s="124" customFormat="1" hidden="1" x14ac:dyDescent="0.25">
      <c r="A421" s="104"/>
      <c r="B421" s="109" t="s">
        <v>273</v>
      </c>
      <c r="C421" s="489" t="s">
        <v>363</v>
      </c>
      <c r="D421" s="21" t="s">
        <v>200</v>
      </c>
      <c r="E421" s="13"/>
      <c r="F421" s="29">
        <f>F400</f>
        <v>0</v>
      </c>
      <c r="G421" s="2"/>
      <c r="H421" s="2"/>
      <c r="I421" s="2"/>
    </row>
    <row r="422" spans="1:10" s="124" customFormat="1" ht="29.25" hidden="1" x14ac:dyDescent="0.25">
      <c r="A422" s="104"/>
      <c r="B422" s="109" t="s">
        <v>273</v>
      </c>
      <c r="C422" s="489" t="s">
        <v>363</v>
      </c>
      <c r="D422" s="21" t="s">
        <v>201</v>
      </c>
      <c r="E422" s="13"/>
      <c r="F422" s="29">
        <f>F401</f>
        <v>0</v>
      </c>
      <c r="G422" s="2"/>
      <c r="H422" s="2"/>
      <c r="I422" s="2"/>
    </row>
    <row r="423" spans="1:10" s="124" customFormat="1" hidden="1" x14ac:dyDescent="0.25">
      <c r="A423" s="104"/>
      <c r="B423" s="109" t="s">
        <v>273</v>
      </c>
      <c r="C423" s="489" t="s">
        <v>363</v>
      </c>
      <c r="D423" s="22" t="s">
        <v>109</v>
      </c>
      <c r="E423" s="13"/>
      <c r="F423" s="29">
        <f>F419+F420+F422</f>
        <v>25200</v>
      </c>
      <c r="G423" s="2"/>
      <c r="H423" s="2"/>
      <c r="I423" s="2"/>
    </row>
    <row r="424" spans="1:10" s="124" customFormat="1" hidden="1" x14ac:dyDescent="0.25">
      <c r="A424" s="104">
        <v>1</v>
      </c>
      <c r="B424" s="109" t="s">
        <v>273</v>
      </c>
      <c r="C424" s="489" t="s">
        <v>363</v>
      </c>
      <c r="D424" s="30" t="s">
        <v>7</v>
      </c>
      <c r="E424" s="354"/>
      <c r="F424" s="29"/>
      <c r="G424" s="29"/>
      <c r="H424" s="29"/>
      <c r="I424" s="29"/>
    </row>
    <row r="425" spans="1:10" s="124" customFormat="1" hidden="1" x14ac:dyDescent="0.25">
      <c r="A425" s="104">
        <v>1</v>
      </c>
      <c r="B425" s="109" t="s">
        <v>273</v>
      </c>
      <c r="C425" s="489" t="s">
        <v>363</v>
      </c>
      <c r="D425" s="40" t="s">
        <v>91</v>
      </c>
      <c r="E425" s="354"/>
      <c r="F425" s="29"/>
      <c r="G425" s="29"/>
      <c r="H425" s="29"/>
      <c r="I425" s="29"/>
    </row>
    <row r="426" spans="1:10" s="124" customFormat="1" hidden="1" x14ac:dyDescent="0.25">
      <c r="A426" s="104">
        <v>1</v>
      </c>
      <c r="B426" s="109" t="s">
        <v>273</v>
      </c>
      <c r="C426" s="489" t="s">
        <v>363</v>
      </c>
      <c r="D426" s="1" t="s">
        <v>77</v>
      </c>
      <c r="E426" s="354">
        <v>330</v>
      </c>
      <c r="F426" s="2">
        <v>399</v>
      </c>
      <c r="G426" s="355">
        <v>9</v>
      </c>
      <c r="H426" s="2">
        <f>ROUND(I426/E426,0)</f>
        <v>11</v>
      </c>
      <c r="I426" s="2">
        <f>ROUND(F426*G426,0)</f>
        <v>3591</v>
      </c>
    </row>
    <row r="427" spans="1:10" s="124" customFormat="1" hidden="1" x14ac:dyDescent="0.25">
      <c r="A427" s="104">
        <v>1</v>
      </c>
      <c r="B427" s="109" t="s">
        <v>273</v>
      </c>
      <c r="C427" s="489" t="s">
        <v>363</v>
      </c>
      <c r="D427" s="139" t="s">
        <v>9</v>
      </c>
      <c r="E427" s="190"/>
      <c r="F427" s="31">
        <f>SUM(F426)</f>
        <v>399</v>
      </c>
      <c r="G427" s="143">
        <f>I427/F427</f>
        <v>9</v>
      </c>
      <c r="H427" s="31">
        <f>H426</f>
        <v>11</v>
      </c>
      <c r="I427" s="31">
        <f>I426</f>
        <v>3591</v>
      </c>
    </row>
    <row r="428" spans="1:10" s="124" customFormat="1" hidden="1" x14ac:dyDescent="0.25">
      <c r="A428" s="104">
        <v>1</v>
      </c>
      <c r="B428" s="109" t="s">
        <v>273</v>
      </c>
      <c r="C428" s="489" t="s">
        <v>363</v>
      </c>
      <c r="D428" s="40" t="s">
        <v>18</v>
      </c>
      <c r="E428" s="354"/>
      <c r="F428" s="31"/>
      <c r="G428" s="633"/>
      <c r="H428" s="31"/>
      <c r="I428" s="31"/>
    </row>
    <row r="429" spans="1:10" s="124" customFormat="1" hidden="1" x14ac:dyDescent="0.25">
      <c r="A429" s="104">
        <v>1</v>
      </c>
      <c r="B429" s="109" t="s">
        <v>273</v>
      </c>
      <c r="C429" s="489" t="s">
        <v>363</v>
      </c>
      <c r="D429" s="117" t="s">
        <v>77</v>
      </c>
      <c r="E429" s="354">
        <v>240</v>
      </c>
      <c r="F429" s="2">
        <v>439</v>
      </c>
      <c r="G429" s="355">
        <v>7.6</v>
      </c>
      <c r="H429" s="2">
        <f>ROUND(I429/E429,0)</f>
        <v>14</v>
      </c>
      <c r="I429" s="2">
        <f>ROUND(F429*G429,0)</f>
        <v>3336</v>
      </c>
    </row>
    <row r="430" spans="1:10" s="124" customFormat="1" hidden="1" x14ac:dyDescent="0.25">
      <c r="A430" s="104">
        <v>1</v>
      </c>
      <c r="B430" s="109" t="s">
        <v>273</v>
      </c>
      <c r="C430" s="489" t="s">
        <v>363</v>
      </c>
      <c r="D430" s="634" t="s">
        <v>92</v>
      </c>
      <c r="E430" s="606"/>
      <c r="F430" s="31">
        <f>SUM(F429)</f>
        <v>439</v>
      </c>
      <c r="G430" s="633">
        <f>G429</f>
        <v>7.6</v>
      </c>
      <c r="H430" s="31">
        <f>H429</f>
        <v>14</v>
      </c>
      <c r="I430" s="31">
        <f>I429</f>
        <v>3336</v>
      </c>
    </row>
    <row r="431" spans="1:10" s="124" customFormat="1" hidden="1" x14ac:dyDescent="0.25">
      <c r="A431" s="104">
        <v>1</v>
      </c>
      <c r="B431" s="109" t="s">
        <v>273</v>
      </c>
      <c r="C431" s="489" t="s">
        <v>363</v>
      </c>
      <c r="D431" s="70" t="s">
        <v>86</v>
      </c>
      <c r="E431" s="190"/>
      <c r="F431" s="29">
        <f>F430+F427</f>
        <v>838</v>
      </c>
      <c r="G431" s="143">
        <f>I431/F431</f>
        <v>8.2661097852028647</v>
      </c>
      <c r="H431" s="29">
        <f>H427+H429</f>
        <v>25</v>
      </c>
      <c r="I431" s="29">
        <f>I427+I429</f>
        <v>6927</v>
      </c>
    </row>
    <row r="432" spans="1:10" s="124" customFormat="1" ht="30" hidden="1" x14ac:dyDescent="0.25">
      <c r="A432" s="104"/>
      <c r="B432" s="109" t="s">
        <v>273</v>
      </c>
      <c r="C432" s="489" t="s">
        <v>363</v>
      </c>
      <c r="D432" s="628" t="s">
        <v>332</v>
      </c>
      <c r="E432" s="610"/>
      <c r="F432" s="635"/>
      <c r="G432" s="147"/>
      <c r="H432" s="43"/>
      <c r="I432" s="43"/>
    </row>
    <row r="433" spans="1:68" s="124" customFormat="1" ht="30" hidden="1" x14ac:dyDescent="0.25">
      <c r="A433" s="104"/>
      <c r="B433" s="109"/>
      <c r="C433" s="489" t="s">
        <v>363</v>
      </c>
      <c r="D433" s="178" t="s">
        <v>333</v>
      </c>
      <c r="E433" s="610"/>
      <c r="F433" s="445"/>
      <c r="G433" s="151"/>
      <c r="H433" s="302"/>
      <c r="I433" s="302"/>
    </row>
    <row r="434" spans="1:68" s="124" customFormat="1" ht="30" hidden="1" x14ac:dyDescent="0.25">
      <c r="A434" s="104"/>
      <c r="B434" s="109" t="s">
        <v>273</v>
      </c>
      <c r="C434" s="489" t="s">
        <v>363</v>
      </c>
      <c r="D434" s="636" t="s">
        <v>334</v>
      </c>
      <c r="E434" s="637"/>
      <c r="F434" s="638"/>
      <c r="G434" s="639"/>
      <c r="H434" s="490"/>
      <c r="I434" s="490"/>
    </row>
    <row r="435" spans="1:68" s="598" customFormat="1" ht="15.75" hidden="1" thickBot="1" x14ac:dyDescent="0.3">
      <c r="A435" s="104">
        <v>1</v>
      </c>
      <c r="B435" s="109" t="s">
        <v>273</v>
      </c>
      <c r="C435" s="489" t="s">
        <v>363</v>
      </c>
      <c r="D435" s="640" t="s">
        <v>220</v>
      </c>
      <c r="E435" s="596"/>
      <c r="F435" s="596"/>
      <c r="G435" s="596"/>
      <c r="H435" s="596"/>
      <c r="I435" s="596"/>
      <c r="J435" s="124"/>
      <c r="K435" s="124"/>
      <c r="L435" s="124"/>
      <c r="M435" s="124"/>
      <c r="N435" s="124"/>
      <c r="O435" s="124"/>
      <c r="P435" s="124"/>
      <c r="Q435" s="124"/>
      <c r="R435" s="124"/>
      <c r="S435" s="124"/>
      <c r="T435" s="124"/>
      <c r="U435" s="124"/>
      <c r="V435" s="124"/>
      <c r="W435" s="124"/>
      <c r="X435" s="124"/>
      <c r="Y435" s="124"/>
      <c r="Z435" s="124"/>
      <c r="AA435" s="124"/>
      <c r="AB435" s="124"/>
      <c r="AC435" s="124"/>
      <c r="AD435" s="124"/>
      <c r="AE435" s="124"/>
      <c r="AF435" s="124"/>
      <c r="AG435" s="124"/>
      <c r="AH435" s="124"/>
      <c r="AI435" s="124"/>
      <c r="AJ435" s="124"/>
      <c r="AK435" s="124"/>
      <c r="AL435" s="124"/>
      <c r="AM435" s="124"/>
      <c r="AN435" s="124"/>
      <c r="AO435" s="124"/>
      <c r="AP435" s="124"/>
      <c r="AQ435" s="124"/>
      <c r="AR435" s="124"/>
      <c r="AS435" s="124"/>
      <c r="AT435" s="124"/>
      <c r="AU435" s="124"/>
      <c r="AV435" s="124"/>
      <c r="AW435" s="124"/>
      <c r="AX435" s="124"/>
      <c r="AY435" s="124"/>
      <c r="AZ435" s="124"/>
      <c r="BA435" s="124"/>
      <c r="BB435" s="124"/>
      <c r="BC435" s="124"/>
      <c r="BD435" s="124"/>
      <c r="BE435" s="124"/>
      <c r="BF435" s="124"/>
      <c r="BG435" s="124"/>
      <c r="BH435" s="124"/>
      <c r="BI435" s="124"/>
      <c r="BJ435" s="124"/>
      <c r="BK435" s="124"/>
      <c r="BL435" s="124"/>
      <c r="BM435" s="124"/>
      <c r="BN435" s="124"/>
      <c r="BO435" s="124"/>
      <c r="BP435" s="124"/>
    </row>
    <row r="436" spans="1:68" ht="31.5" hidden="1" x14ac:dyDescent="0.25">
      <c r="A436" s="104">
        <v>1</v>
      </c>
      <c r="B436" s="575">
        <v>3241001</v>
      </c>
      <c r="C436" s="489" t="s">
        <v>363</v>
      </c>
      <c r="D436" s="678" t="s">
        <v>410</v>
      </c>
      <c r="E436" s="641"/>
      <c r="F436" s="424"/>
      <c r="G436" s="424"/>
      <c r="H436" s="424"/>
      <c r="I436" s="424"/>
      <c r="J436" s="124"/>
      <c r="K436" s="124"/>
      <c r="L436" s="124"/>
      <c r="M436" s="124"/>
      <c r="N436" s="124"/>
      <c r="O436" s="124"/>
      <c r="P436" s="124"/>
      <c r="Q436" s="124"/>
      <c r="R436" s="124"/>
      <c r="S436" s="124"/>
      <c r="T436" s="124"/>
      <c r="U436" s="124"/>
      <c r="V436" s="124"/>
      <c r="W436" s="124"/>
      <c r="X436" s="124"/>
      <c r="Y436" s="124"/>
      <c r="Z436" s="124"/>
      <c r="AA436" s="124"/>
      <c r="AB436" s="124"/>
      <c r="AC436" s="124"/>
      <c r="AD436" s="124"/>
      <c r="AE436" s="124"/>
      <c r="AF436" s="124"/>
      <c r="AG436" s="124"/>
      <c r="AH436" s="124"/>
      <c r="AI436" s="124"/>
      <c r="AJ436" s="124"/>
      <c r="AK436" s="124"/>
      <c r="AL436" s="124"/>
      <c r="AM436" s="124"/>
      <c r="AN436" s="124"/>
      <c r="AO436" s="124"/>
      <c r="AP436" s="124"/>
      <c r="AQ436" s="124"/>
      <c r="AR436" s="124"/>
      <c r="AS436" s="124"/>
      <c r="AT436" s="124"/>
      <c r="AU436" s="124"/>
      <c r="AV436" s="124"/>
      <c r="AW436" s="124"/>
      <c r="AX436" s="124"/>
      <c r="AY436" s="124"/>
      <c r="AZ436" s="124"/>
      <c r="BA436" s="124"/>
      <c r="BB436" s="124"/>
      <c r="BC436" s="124"/>
      <c r="BD436" s="124"/>
      <c r="BE436" s="124"/>
      <c r="BF436" s="124"/>
      <c r="BG436" s="124"/>
      <c r="BH436" s="124"/>
      <c r="BI436" s="124"/>
      <c r="BJ436" s="124"/>
      <c r="BK436" s="124"/>
      <c r="BL436" s="124"/>
      <c r="BM436" s="124"/>
      <c r="BN436" s="124"/>
      <c r="BO436" s="124"/>
      <c r="BP436" s="124"/>
    </row>
    <row r="437" spans="1:68" hidden="1" x14ac:dyDescent="0.25">
      <c r="A437" s="104">
        <v>1</v>
      </c>
      <c r="B437" s="575">
        <v>3241001</v>
      </c>
      <c r="C437" s="489" t="s">
        <v>363</v>
      </c>
      <c r="D437" s="112" t="s">
        <v>4</v>
      </c>
      <c r="E437" s="190"/>
      <c r="F437" s="2"/>
      <c r="G437" s="2"/>
      <c r="H437" s="2"/>
      <c r="I437" s="2"/>
      <c r="J437" s="124"/>
      <c r="K437" s="124"/>
      <c r="L437" s="124"/>
      <c r="M437" s="124"/>
      <c r="N437" s="124"/>
      <c r="O437" s="124"/>
      <c r="P437" s="124"/>
      <c r="Q437" s="124"/>
      <c r="R437" s="124"/>
      <c r="S437" s="124"/>
      <c r="T437" s="124"/>
      <c r="U437" s="124"/>
      <c r="V437" s="124"/>
      <c r="W437" s="124"/>
      <c r="X437" s="124"/>
      <c r="Y437" s="124"/>
      <c r="Z437" s="124"/>
      <c r="AA437" s="124"/>
      <c r="AB437" s="124"/>
      <c r="AC437" s="124"/>
      <c r="AD437" s="124"/>
      <c r="AE437" s="124"/>
      <c r="AF437" s="124"/>
      <c r="AG437" s="124"/>
      <c r="AH437" s="124"/>
      <c r="AI437" s="124"/>
      <c r="AJ437" s="124"/>
      <c r="AK437" s="124"/>
      <c r="AL437" s="124"/>
      <c r="AM437" s="124"/>
      <c r="AN437" s="124"/>
      <c r="AO437" s="124"/>
      <c r="AP437" s="124"/>
      <c r="AQ437" s="124"/>
      <c r="AR437" s="124"/>
      <c r="AS437" s="124"/>
      <c r="AT437" s="124"/>
      <c r="AU437" s="124"/>
      <c r="AV437" s="124"/>
      <c r="AW437" s="124"/>
      <c r="AX437" s="124"/>
      <c r="AY437" s="124"/>
      <c r="AZ437" s="124"/>
      <c r="BA437" s="124"/>
      <c r="BB437" s="124"/>
      <c r="BC437" s="124"/>
      <c r="BD437" s="124"/>
      <c r="BE437" s="124"/>
      <c r="BF437" s="124"/>
      <c r="BG437" s="124"/>
      <c r="BH437" s="124"/>
      <c r="BI437" s="124"/>
      <c r="BJ437" s="124"/>
      <c r="BK437" s="124"/>
      <c r="BL437" s="124"/>
      <c r="BM437" s="124"/>
      <c r="BN437" s="124"/>
      <c r="BO437" s="124"/>
      <c r="BP437" s="124"/>
    </row>
    <row r="438" spans="1:68" hidden="1" x14ac:dyDescent="0.25">
      <c r="A438" s="104">
        <v>1</v>
      </c>
      <c r="B438" s="575">
        <v>3241001</v>
      </c>
      <c r="C438" s="489" t="s">
        <v>363</v>
      </c>
      <c r="D438" s="117" t="s">
        <v>78</v>
      </c>
      <c r="E438" s="354">
        <v>320</v>
      </c>
      <c r="F438" s="2">
        <v>326</v>
      </c>
      <c r="G438" s="355">
        <v>13.6</v>
      </c>
      <c r="H438" s="2">
        <f t="shared" ref="H438:H443" si="13">ROUND(I438/E438,0)</f>
        <v>14</v>
      </c>
      <c r="I438" s="2">
        <f t="shared" ref="I438:I443" si="14">ROUND(F438*G438,0)</f>
        <v>4434</v>
      </c>
      <c r="J438" s="124"/>
      <c r="K438" s="124"/>
      <c r="L438" s="124"/>
      <c r="M438" s="124"/>
      <c r="N438" s="124"/>
      <c r="O438" s="124"/>
      <c r="P438" s="124"/>
      <c r="Q438" s="124"/>
      <c r="R438" s="124"/>
      <c r="S438" s="124"/>
      <c r="T438" s="124"/>
      <c r="U438" s="124"/>
      <c r="V438" s="124"/>
      <c r="W438" s="124"/>
      <c r="X438" s="124"/>
      <c r="Y438" s="124"/>
      <c r="Z438" s="124"/>
      <c r="AA438" s="124"/>
      <c r="AB438" s="124"/>
      <c r="AC438" s="124"/>
      <c r="AD438" s="124"/>
      <c r="AE438" s="124"/>
      <c r="AF438" s="124"/>
      <c r="AG438" s="124"/>
      <c r="AH438" s="124"/>
      <c r="AI438" s="124"/>
      <c r="AJ438" s="124"/>
      <c r="AK438" s="124"/>
      <c r="AL438" s="124"/>
      <c r="AM438" s="124"/>
      <c r="AN438" s="124"/>
      <c r="AO438" s="124"/>
      <c r="AP438" s="124"/>
      <c r="AQ438" s="124"/>
      <c r="AR438" s="124"/>
      <c r="AS438" s="124"/>
      <c r="AT438" s="124"/>
      <c r="AU438" s="124"/>
      <c r="AV438" s="124"/>
      <c r="AW438" s="124"/>
      <c r="AX438" s="124"/>
      <c r="AY438" s="124"/>
      <c r="AZ438" s="124"/>
      <c r="BA438" s="124"/>
      <c r="BB438" s="124"/>
      <c r="BC438" s="124"/>
      <c r="BD438" s="124"/>
      <c r="BE438" s="124"/>
      <c r="BF438" s="124"/>
      <c r="BG438" s="124"/>
      <c r="BH438" s="124"/>
      <c r="BI438" s="124"/>
      <c r="BJ438" s="124"/>
      <c r="BK438" s="124"/>
      <c r="BL438" s="124"/>
      <c r="BM438" s="124"/>
      <c r="BN438" s="124"/>
      <c r="BO438" s="124"/>
      <c r="BP438" s="124"/>
    </row>
    <row r="439" spans="1:68" hidden="1" x14ac:dyDescent="0.25">
      <c r="A439" s="104">
        <v>1</v>
      </c>
      <c r="B439" s="575">
        <v>3241001</v>
      </c>
      <c r="C439" s="489" t="s">
        <v>363</v>
      </c>
      <c r="D439" s="117" t="s">
        <v>55</v>
      </c>
      <c r="E439" s="354">
        <v>320</v>
      </c>
      <c r="F439" s="2">
        <v>311</v>
      </c>
      <c r="G439" s="355">
        <v>12.5</v>
      </c>
      <c r="H439" s="2">
        <f t="shared" si="13"/>
        <v>12</v>
      </c>
      <c r="I439" s="2">
        <f t="shared" si="14"/>
        <v>3888</v>
      </c>
      <c r="J439" s="124"/>
      <c r="K439" s="124"/>
      <c r="L439" s="124"/>
      <c r="M439" s="124"/>
      <c r="N439" s="124"/>
      <c r="O439" s="124"/>
      <c r="P439" s="124"/>
      <c r="Q439" s="124"/>
      <c r="R439" s="124"/>
      <c r="S439" s="124"/>
      <c r="T439" s="124"/>
      <c r="U439" s="124"/>
      <c r="V439" s="124"/>
      <c r="W439" s="124"/>
      <c r="X439" s="124"/>
      <c r="Y439" s="124"/>
      <c r="Z439" s="124"/>
      <c r="AA439" s="124"/>
      <c r="AB439" s="124"/>
      <c r="AC439" s="124"/>
      <c r="AD439" s="124"/>
      <c r="AE439" s="124"/>
      <c r="AF439" s="124"/>
      <c r="AG439" s="124"/>
      <c r="AH439" s="124"/>
      <c r="AI439" s="124"/>
      <c r="AJ439" s="124"/>
      <c r="AK439" s="124"/>
      <c r="AL439" s="124"/>
      <c r="AM439" s="124"/>
      <c r="AN439" s="124"/>
      <c r="AO439" s="124"/>
      <c r="AP439" s="124"/>
      <c r="AQ439" s="124"/>
      <c r="AR439" s="124"/>
      <c r="AS439" s="124"/>
      <c r="AT439" s="124"/>
      <c r="AU439" s="124"/>
      <c r="AV439" s="124"/>
      <c r="AW439" s="124"/>
      <c r="AX439" s="124"/>
      <c r="AY439" s="124"/>
      <c r="AZ439" s="124"/>
      <c r="BA439" s="124"/>
      <c r="BB439" s="124"/>
      <c r="BC439" s="124"/>
      <c r="BD439" s="124"/>
      <c r="BE439" s="124"/>
      <c r="BF439" s="124"/>
      <c r="BG439" s="124"/>
      <c r="BH439" s="124"/>
      <c r="BI439" s="124"/>
      <c r="BJ439" s="124"/>
      <c r="BK439" s="124"/>
      <c r="BL439" s="124"/>
      <c r="BM439" s="124"/>
      <c r="BN439" s="124"/>
      <c r="BO439" s="124"/>
      <c r="BP439" s="124"/>
    </row>
    <row r="440" spans="1:68" hidden="1" x14ac:dyDescent="0.25">
      <c r="A440" s="104">
        <v>1</v>
      </c>
      <c r="B440" s="575">
        <v>3241001</v>
      </c>
      <c r="C440" s="489" t="s">
        <v>363</v>
      </c>
      <c r="D440" s="117" t="s">
        <v>61</v>
      </c>
      <c r="E440" s="354">
        <v>320</v>
      </c>
      <c r="F440" s="2">
        <v>136</v>
      </c>
      <c r="G440" s="622">
        <v>13</v>
      </c>
      <c r="H440" s="2">
        <f t="shared" si="13"/>
        <v>6</v>
      </c>
      <c r="I440" s="2">
        <f t="shared" si="14"/>
        <v>1768</v>
      </c>
      <c r="J440" s="124"/>
      <c r="K440" s="124"/>
      <c r="L440" s="124"/>
      <c r="M440" s="124"/>
      <c r="N440" s="124"/>
      <c r="O440" s="124"/>
      <c r="P440" s="124"/>
      <c r="Q440" s="124"/>
      <c r="R440" s="124"/>
      <c r="S440" s="124"/>
      <c r="T440" s="124"/>
      <c r="U440" s="124"/>
      <c r="V440" s="124"/>
      <c r="W440" s="124"/>
      <c r="X440" s="124"/>
      <c r="Y440" s="124"/>
      <c r="Z440" s="124"/>
      <c r="AA440" s="124"/>
      <c r="AB440" s="124"/>
      <c r="AC440" s="124"/>
      <c r="AD440" s="124"/>
      <c r="AE440" s="124"/>
      <c r="AF440" s="124"/>
      <c r="AG440" s="124"/>
      <c r="AH440" s="124"/>
      <c r="AI440" s="124"/>
      <c r="AJ440" s="124"/>
      <c r="AK440" s="124"/>
      <c r="AL440" s="124"/>
      <c r="AM440" s="124"/>
      <c r="AN440" s="124"/>
      <c r="AO440" s="124"/>
      <c r="AP440" s="124"/>
      <c r="AQ440" s="124"/>
      <c r="AR440" s="124"/>
      <c r="AS440" s="124"/>
      <c r="AT440" s="124"/>
      <c r="AU440" s="124"/>
      <c r="AV440" s="124"/>
      <c r="AW440" s="124"/>
      <c r="AX440" s="124"/>
      <c r="AY440" s="124"/>
      <c r="AZ440" s="124"/>
      <c r="BA440" s="124"/>
      <c r="BB440" s="124"/>
      <c r="BC440" s="124"/>
      <c r="BD440" s="124"/>
      <c r="BE440" s="124"/>
      <c r="BF440" s="124"/>
      <c r="BG440" s="124"/>
      <c r="BH440" s="124"/>
      <c r="BI440" s="124"/>
      <c r="BJ440" s="124"/>
      <c r="BK440" s="124"/>
      <c r="BL440" s="124"/>
      <c r="BM440" s="124"/>
      <c r="BN440" s="124"/>
      <c r="BO440" s="124"/>
      <c r="BP440" s="124"/>
    </row>
    <row r="441" spans="1:68" ht="30" hidden="1" x14ac:dyDescent="0.25">
      <c r="A441" s="104">
        <v>1</v>
      </c>
      <c r="B441" s="575">
        <v>3241001</v>
      </c>
      <c r="C441" s="489" t="s">
        <v>363</v>
      </c>
      <c r="D441" s="642" t="s">
        <v>73</v>
      </c>
      <c r="E441" s="354">
        <v>320</v>
      </c>
      <c r="F441" s="2">
        <v>569</v>
      </c>
      <c r="G441" s="623">
        <v>15</v>
      </c>
      <c r="H441" s="2">
        <f t="shared" si="13"/>
        <v>27</v>
      </c>
      <c r="I441" s="2">
        <f t="shared" si="14"/>
        <v>8535</v>
      </c>
      <c r="J441" s="124"/>
      <c r="K441" s="124"/>
      <c r="L441" s="124"/>
      <c r="M441" s="124"/>
      <c r="N441" s="124"/>
      <c r="O441" s="124"/>
      <c r="P441" s="124"/>
      <c r="Q441" s="124"/>
      <c r="R441" s="124"/>
      <c r="S441" s="124"/>
      <c r="T441" s="124"/>
      <c r="U441" s="124"/>
      <c r="V441" s="124"/>
      <c r="W441" s="124"/>
      <c r="X441" s="124"/>
      <c r="Y441" s="124"/>
      <c r="Z441" s="124"/>
      <c r="AA441" s="124"/>
      <c r="AB441" s="124"/>
      <c r="AC441" s="124"/>
      <c r="AD441" s="124"/>
      <c r="AE441" s="124"/>
      <c r="AF441" s="124"/>
      <c r="AG441" s="124"/>
      <c r="AH441" s="124"/>
      <c r="AI441" s="124"/>
      <c r="AJ441" s="124"/>
      <c r="AK441" s="124"/>
      <c r="AL441" s="124"/>
      <c r="AM441" s="124"/>
      <c r="AN441" s="124"/>
      <c r="AO441" s="124"/>
      <c r="AP441" s="124"/>
      <c r="AQ441" s="124"/>
      <c r="AR441" s="124"/>
      <c r="AS441" s="124"/>
      <c r="AT441" s="124"/>
      <c r="AU441" s="124"/>
      <c r="AV441" s="124"/>
      <c r="AW441" s="124"/>
      <c r="AX441" s="124"/>
      <c r="AY441" s="124"/>
      <c r="AZ441" s="124"/>
      <c r="BA441" s="124"/>
      <c r="BB441" s="124"/>
      <c r="BC441" s="124"/>
      <c r="BD441" s="124"/>
      <c r="BE441" s="124"/>
      <c r="BF441" s="124"/>
      <c r="BG441" s="124"/>
      <c r="BH441" s="124"/>
      <c r="BI441" s="124"/>
      <c r="BJ441" s="124"/>
      <c r="BK441" s="124"/>
      <c r="BL441" s="124"/>
      <c r="BM441" s="124"/>
      <c r="BN441" s="124"/>
      <c r="BO441" s="124"/>
      <c r="BP441" s="124"/>
    </row>
    <row r="442" spans="1:68" hidden="1" x14ac:dyDescent="0.25">
      <c r="A442" s="104">
        <v>1</v>
      </c>
      <c r="B442" s="575">
        <v>3241001</v>
      </c>
      <c r="C442" s="489" t="s">
        <v>363</v>
      </c>
      <c r="D442" s="117" t="s">
        <v>40</v>
      </c>
      <c r="E442" s="354">
        <v>320</v>
      </c>
      <c r="F442" s="2">
        <v>1285</v>
      </c>
      <c r="G442" s="355">
        <v>9.6</v>
      </c>
      <c r="H442" s="2">
        <f t="shared" si="13"/>
        <v>39</v>
      </c>
      <c r="I442" s="2">
        <f t="shared" si="14"/>
        <v>12336</v>
      </c>
      <c r="J442" s="124"/>
      <c r="K442" s="124"/>
      <c r="L442" s="124"/>
      <c r="M442" s="124"/>
      <c r="N442" s="124"/>
      <c r="O442" s="124"/>
      <c r="P442" s="124"/>
      <c r="Q442" s="124"/>
      <c r="R442" s="124"/>
      <c r="S442" s="124"/>
      <c r="T442" s="124"/>
      <c r="U442" s="124"/>
      <c r="V442" s="124"/>
      <c r="W442" s="124"/>
      <c r="X442" s="124"/>
      <c r="Y442" s="124"/>
      <c r="Z442" s="124"/>
      <c r="AA442" s="124"/>
      <c r="AB442" s="124"/>
      <c r="AC442" s="124"/>
      <c r="AD442" s="124"/>
      <c r="AE442" s="124"/>
      <c r="AF442" s="124"/>
      <c r="AG442" s="124"/>
      <c r="AH442" s="124"/>
      <c r="AI442" s="124"/>
      <c r="AJ442" s="124"/>
      <c r="AK442" s="124"/>
      <c r="AL442" s="124"/>
      <c r="AM442" s="124"/>
      <c r="AN442" s="124"/>
      <c r="AO442" s="124"/>
      <c r="AP442" s="124"/>
      <c r="AQ442" s="124"/>
      <c r="AR442" s="124"/>
      <c r="AS442" s="124"/>
      <c r="AT442" s="124"/>
      <c r="AU442" s="124"/>
      <c r="AV442" s="124"/>
      <c r="AW442" s="124"/>
      <c r="AX442" s="124"/>
      <c r="AY442" s="124"/>
      <c r="AZ442" s="124"/>
      <c r="BA442" s="124"/>
      <c r="BB442" s="124"/>
      <c r="BC442" s="124"/>
      <c r="BD442" s="124"/>
      <c r="BE442" s="124"/>
      <c r="BF442" s="124"/>
      <c r="BG442" s="124"/>
      <c r="BH442" s="124"/>
      <c r="BI442" s="124"/>
      <c r="BJ442" s="124"/>
      <c r="BK442" s="124"/>
      <c r="BL442" s="124"/>
      <c r="BM442" s="124"/>
      <c r="BN442" s="124"/>
      <c r="BO442" s="124"/>
      <c r="BP442" s="124"/>
    </row>
    <row r="443" spans="1:68" hidden="1" x14ac:dyDescent="0.25">
      <c r="A443" s="104">
        <v>1</v>
      </c>
      <c r="B443" s="575">
        <v>3241001</v>
      </c>
      <c r="C443" s="489" t="s">
        <v>363</v>
      </c>
      <c r="D443" s="117" t="s">
        <v>13</v>
      </c>
      <c r="E443" s="354">
        <v>320</v>
      </c>
      <c r="F443" s="2">
        <v>350</v>
      </c>
      <c r="G443" s="623">
        <v>11.2</v>
      </c>
      <c r="H443" s="2">
        <f t="shared" si="13"/>
        <v>12</v>
      </c>
      <c r="I443" s="2">
        <f t="shared" si="14"/>
        <v>3920</v>
      </c>
      <c r="J443" s="124"/>
      <c r="K443" s="124"/>
      <c r="L443" s="124"/>
      <c r="M443" s="124"/>
      <c r="N443" s="124"/>
      <c r="O443" s="124"/>
      <c r="P443" s="124"/>
      <c r="Q443" s="124"/>
      <c r="R443" s="124"/>
      <c r="S443" s="124"/>
      <c r="T443" s="124"/>
      <c r="U443" s="124"/>
      <c r="V443" s="124"/>
      <c r="W443" s="124"/>
      <c r="X443" s="124"/>
      <c r="Y443" s="124"/>
      <c r="Z443" s="124"/>
      <c r="AA443" s="124"/>
      <c r="AB443" s="124"/>
      <c r="AC443" s="124"/>
      <c r="AD443" s="124"/>
      <c r="AE443" s="124"/>
      <c r="AF443" s="124"/>
      <c r="AG443" s="124"/>
      <c r="AH443" s="124"/>
      <c r="AI443" s="124"/>
      <c r="AJ443" s="124"/>
      <c r="AK443" s="124"/>
      <c r="AL443" s="124"/>
      <c r="AM443" s="124"/>
      <c r="AN443" s="124"/>
      <c r="AO443" s="124"/>
      <c r="AP443" s="124"/>
      <c r="AQ443" s="124"/>
      <c r="AR443" s="124"/>
      <c r="AS443" s="124"/>
      <c r="AT443" s="124"/>
      <c r="AU443" s="124"/>
      <c r="AV443" s="124"/>
      <c r="AW443" s="124"/>
      <c r="AX443" s="124"/>
      <c r="AY443" s="124"/>
      <c r="AZ443" s="124"/>
      <c r="BA443" s="124"/>
      <c r="BB443" s="124"/>
      <c r="BC443" s="124"/>
      <c r="BD443" s="124"/>
      <c r="BE443" s="124"/>
      <c r="BF443" s="124"/>
      <c r="BG443" s="124"/>
      <c r="BH443" s="124"/>
      <c r="BI443" s="124"/>
      <c r="BJ443" s="124"/>
      <c r="BK443" s="124"/>
      <c r="BL443" s="124"/>
      <c r="BM443" s="124"/>
      <c r="BN443" s="124"/>
      <c r="BO443" s="124"/>
      <c r="BP443" s="124"/>
    </row>
    <row r="444" spans="1:68" s="124" customFormat="1" hidden="1" x14ac:dyDescent="0.25">
      <c r="A444" s="104">
        <v>1</v>
      </c>
      <c r="B444" s="575">
        <v>3241001</v>
      </c>
      <c r="C444" s="489" t="s">
        <v>363</v>
      </c>
      <c r="D444" s="589" t="s">
        <v>5</v>
      </c>
      <c r="E444" s="190"/>
      <c r="F444" s="29">
        <f>SUM(F438:F443)</f>
        <v>2977</v>
      </c>
      <c r="G444" s="143">
        <f>I444/F444</f>
        <v>11.716829022505879</v>
      </c>
      <c r="H444" s="29">
        <f>SUM(H438:H443)</f>
        <v>110</v>
      </c>
      <c r="I444" s="29">
        <f>SUM(I438:I443)</f>
        <v>34881</v>
      </c>
      <c r="J444" s="191"/>
    </row>
    <row r="445" spans="1:68" s="58" customFormat="1" hidden="1" x14ac:dyDescent="0.25">
      <c r="A445" s="104">
        <v>1</v>
      </c>
      <c r="B445" s="575">
        <v>3241001</v>
      </c>
      <c r="C445" s="489" t="s">
        <v>363</v>
      </c>
      <c r="D445" s="12" t="s">
        <v>294</v>
      </c>
      <c r="E445" s="12"/>
      <c r="F445" s="84"/>
      <c r="G445" s="57"/>
      <c r="H445" s="57"/>
      <c r="I445" s="57"/>
    </row>
    <row r="446" spans="1:68" s="58" customFormat="1" hidden="1" x14ac:dyDescent="0.25">
      <c r="A446" s="104"/>
      <c r="B446" s="575">
        <v>3241001</v>
      </c>
      <c r="C446" s="489" t="s">
        <v>363</v>
      </c>
      <c r="D446" s="14" t="s">
        <v>187</v>
      </c>
      <c r="E446" s="12"/>
      <c r="F446" s="84">
        <f>F447+F448+F449+F450+F451</f>
        <v>40686</v>
      </c>
      <c r="G446" s="57"/>
      <c r="H446" s="57"/>
      <c r="I446" s="57"/>
    </row>
    <row r="447" spans="1:68" s="58" customFormat="1" hidden="1" x14ac:dyDescent="0.25">
      <c r="A447" s="104"/>
      <c r="B447" s="575">
        <v>3241001</v>
      </c>
      <c r="C447" s="489" t="s">
        <v>363</v>
      </c>
      <c r="D447" s="18" t="s">
        <v>113</v>
      </c>
      <c r="E447" s="12"/>
      <c r="F447" s="65">
        <v>5300</v>
      </c>
      <c r="G447" s="57"/>
      <c r="H447" s="57"/>
      <c r="I447" s="57"/>
    </row>
    <row r="448" spans="1:68" s="58" customFormat="1" ht="30" hidden="1" x14ac:dyDescent="0.25">
      <c r="A448" s="104"/>
      <c r="B448" s="575">
        <v>3241001</v>
      </c>
      <c r="C448" s="489" t="s">
        <v>363</v>
      </c>
      <c r="D448" s="18" t="s">
        <v>114</v>
      </c>
      <c r="E448" s="12"/>
      <c r="F448" s="65">
        <v>7542</v>
      </c>
      <c r="G448" s="57"/>
      <c r="H448" s="57"/>
      <c r="I448" s="57"/>
    </row>
    <row r="449" spans="1:9" s="58" customFormat="1" ht="30" hidden="1" x14ac:dyDescent="0.25">
      <c r="A449" s="104"/>
      <c r="B449" s="575">
        <v>3241001</v>
      </c>
      <c r="C449" s="489" t="s">
        <v>363</v>
      </c>
      <c r="D449" s="16" t="s">
        <v>361</v>
      </c>
      <c r="E449" s="12"/>
      <c r="F449" s="84">
        <v>6544</v>
      </c>
      <c r="G449" s="57"/>
      <c r="H449" s="57"/>
      <c r="I449" s="57"/>
    </row>
    <row r="450" spans="1:9" s="58" customFormat="1" ht="45" hidden="1" x14ac:dyDescent="0.25">
      <c r="A450" s="104"/>
      <c r="B450" s="575">
        <v>3241001</v>
      </c>
      <c r="C450" s="489" t="s">
        <v>363</v>
      </c>
      <c r="D450" s="15" t="s">
        <v>219</v>
      </c>
      <c r="E450" s="12"/>
      <c r="F450" s="65">
        <v>12500</v>
      </c>
      <c r="G450" s="57"/>
      <c r="H450" s="57"/>
      <c r="I450" s="57"/>
    </row>
    <row r="451" spans="1:9" s="58" customFormat="1" ht="45" hidden="1" x14ac:dyDescent="0.25">
      <c r="A451" s="104"/>
      <c r="B451" s="575">
        <v>3241001</v>
      </c>
      <c r="C451" s="489" t="s">
        <v>363</v>
      </c>
      <c r="D451" s="15" t="s">
        <v>188</v>
      </c>
      <c r="E451" s="12"/>
      <c r="F451" s="65">
        <v>8800</v>
      </c>
      <c r="G451" s="57"/>
      <c r="H451" s="57"/>
      <c r="I451" s="57"/>
    </row>
    <row r="452" spans="1:9" s="58" customFormat="1" ht="75" hidden="1" x14ac:dyDescent="0.25">
      <c r="A452" s="104"/>
      <c r="B452" s="575"/>
      <c r="C452" s="489" t="s">
        <v>363</v>
      </c>
      <c r="D452" s="15" t="s">
        <v>353</v>
      </c>
      <c r="E452" s="12"/>
      <c r="F452" s="65">
        <v>2300</v>
      </c>
      <c r="G452" s="57"/>
      <c r="H452" s="57"/>
      <c r="I452" s="57"/>
    </row>
    <row r="453" spans="1:9" s="58" customFormat="1" hidden="1" x14ac:dyDescent="0.25">
      <c r="A453" s="104"/>
      <c r="B453" s="575">
        <v>3241001</v>
      </c>
      <c r="C453" s="489" t="s">
        <v>363</v>
      </c>
      <c r="D453" s="60" t="s">
        <v>88</v>
      </c>
      <c r="E453" s="12"/>
      <c r="F453" s="84">
        <v>60333</v>
      </c>
      <c r="G453" s="57"/>
      <c r="H453" s="57"/>
      <c r="I453" s="57"/>
    </row>
    <row r="454" spans="1:9" s="58" customFormat="1" hidden="1" x14ac:dyDescent="0.25">
      <c r="A454" s="104"/>
      <c r="B454" s="575">
        <v>3241001</v>
      </c>
      <c r="C454" s="489" t="s">
        <v>363</v>
      </c>
      <c r="D454" s="19" t="s">
        <v>145</v>
      </c>
      <c r="E454" s="12"/>
      <c r="F454" s="65">
        <v>60333</v>
      </c>
      <c r="G454" s="57"/>
      <c r="H454" s="57"/>
      <c r="I454" s="57"/>
    </row>
    <row r="455" spans="1:9" s="58" customFormat="1" ht="47.25" hidden="1" x14ac:dyDescent="0.25">
      <c r="A455" s="104"/>
      <c r="B455" s="575">
        <v>3241001</v>
      </c>
      <c r="C455" s="489" t="s">
        <v>363</v>
      </c>
      <c r="D455" s="61" t="s">
        <v>292</v>
      </c>
      <c r="E455" s="12"/>
      <c r="F455" s="84">
        <f>F456+F461</f>
        <v>47565</v>
      </c>
      <c r="G455" s="57"/>
      <c r="H455" s="57"/>
      <c r="I455" s="57"/>
    </row>
    <row r="456" spans="1:9" s="58" customFormat="1" ht="30" hidden="1" x14ac:dyDescent="0.25">
      <c r="A456" s="104">
        <v>1</v>
      </c>
      <c r="B456" s="575">
        <v>3241001</v>
      </c>
      <c r="C456" s="489" t="s">
        <v>363</v>
      </c>
      <c r="D456" s="16" t="s">
        <v>189</v>
      </c>
      <c r="E456" s="62"/>
      <c r="F456" s="62">
        <f>SUM(F457:F460)</f>
        <v>465</v>
      </c>
      <c r="G456" s="57"/>
      <c r="H456" s="57"/>
      <c r="I456" s="57"/>
    </row>
    <row r="457" spans="1:9" s="58" customFormat="1" ht="30" hidden="1" x14ac:dyDescent="0.25">
      <c r="A457" s="104">
        <v>1</v>
      </c>
      <c r="B457" s="575">
        <v>3241001</v>
      </c>
      <c r="C457" s="489" t="s">
        <v>363</v>
      </c>
      <c r="D457" s="15" t="s">
        <v>190</v>
      </c>
      <c r="E457" s="62"/>
      <c r="F457" s="57"/>
      <c r="G457" s="57"/>
      <c r="H457" s="57"/>
      <c r="I457" s="57"/>
    </row>
    <row r="458" spans="1:9" s="58" customFormat="1" ht="45" hidden="1" x14ac:dyDescent="0.25">
      <c r="A458" s="104">
        <v>1</v>
      </c>
      <c r="B458" s="575">
        <v>3241001</v>
      </c>
      <c r="C458" s="489" t="s">
        <v>363</v>
      </c>
      <c r="D458" s="15" t="s">
        <v>191</v>
      </c>
      <c r="E458" s="62"/>
      <c r="F458" s="2"/>
      <c r="G458" s="57"/>
      <c r="H458" s="57"/>
      <c r="I458" s="57"/>
    </row>
    <row r="459" spans="1:9" s="58" customFormat="1" ht="30" hidden="1" x14ac:dyDescent="0.25">
      <c r="A459" s="104">
        <v>1</v>
      </c>
      <c r="B459" s="575">
        <v>3241001</v>
      </c>
      <c r="C459" s="489" t="s">
        <v>363</v>
      </c>
      <c r="D459" s="15" t="s">
        <v>192</v>
      </c>
      <c r="E459" s="62"/>
      <c r="F459" s="2">
        <v>115</v>
      </c>
      <c r="G459" s="57"/>
      <c r="H459" s="57"/>
      <c r="I459" s="57"/>
    </row>
    <row r="460" spans="1:9" s="58" customFormat="1" ht="30" hidden="1" x14ac:dyDescent="0.25">
      <c r="A460" s="104">
        <v>1</v>
      </c>
      <c r="B460" s="575">
        <v>3241001</v>
      </c>
      <c r="C460" s="489" t="s">
        <v>363</v>
      </c>
      <c r="D460" s="15" t="s">
        <v>193</v>
      </c>
      <c r="E460" s="62"/>
      <c r="F460" s="2">
        <v>350</v>
      </c>
      <c r="G460" s="57"/>
      <c r="H460" s="57"/>
      <c r="I460" s="57"/>
    </row>
    <row r="461" spans="1:9" s="124" customFormat="1" ht="30" hidden="1" x14ac:dyDescent="0.25">
      <c r="A461" s="104">
        <v>1</v>
      </c>
      <c r="B461" s="575">
        <v>3241001</v>
      </c>
      <c r="C461" s="489" t="s">
        <v>363</v>
      </c>
      <c r="D461" s="16" t="s">
        <v>194</v>
      </c>
      <c r="E461" s="13"/>
      <c r="F461" s="29">
        <f>SUM(F462:F464)</f>
        <v>47100</v>
      </c>
      <c r="G461" s="2"/>
      <c r="H461" s="2"/>
      <c r="I461" s="2"/>
    </row>
    <row r="462" spans="1:9" s="58" customFormat="1" ht="30" hidden="1" x14ac:dyDescent="0.25">
      <c r="A462" s="104">
        <v>1</v>
      </c>
      <c r="B462" s="575">
        <v>3241001</v>
      </c>
      <c r="C462" s="489" t="s">
        <v>363</v>
      </c>
      <c r="D462" s="15" t="s">
        <v>195</v>
      </c>
      <c r="E462" s="281"/>
      <c r="F462" s="2"/>
      <c r="G462" s="57"/>
      <c r="H462" s="57"/>
      <c r="I462" s="57"/>
    </row>
    <row r="463" spans="1:9" s="58" customFormat="1" ht="45" hidden="1" x14ac:dyDescent="0.25">
      <c r="A463" s="104">
        <v>1</v>
      </c>
      <c r="B463" s="575">
        <v>3241001</v>
      </c>
      <c r="C463" s="489" t="s">
        <v>363</v>
      </c>
      <c r="D463" s="15" t="s">
        <v>196</v>
      </c>
      <c r="E463" s="64"/>
      <c r="F463" s="57">
        <v>27000</v>
      </c>
      <c r="G463" s="65"/>
      <c r="H463" s="65"/>
      <c r="I463" s="65"/>
    </row>
    <row r="464" spans="1:9" s="58" customFormat="1" ht="45" hidden="1" x14ac:dyDescent="0.25">
      <c r="A464" s="104">
        <v>1</v>
      </c>
      <c r="B464" s="575">
        <v>3241001</v>
      </c>
      <c r="C464" s="489" t="s">
        <v>363</v>
      </c>
      <c r="D464" s="15" t="s">
        <v>197</v>
      </c>
      <c r="E464" s="13"/>
      <c r="F464" s="2">
        <v>20100</v>
      </c>
      <c r="G464" s="65"/>
      <c r="H464" s="65"/>
      <c r="I464" s="65"/>
    </row>
    <row r="465" spans="1:10" s="58" customFormat="1" hidden="1" x14ac:dyDescent="0.25">
      <c r="A465" s="104"/>
      <c r="B465" s="575"/>
      <c r="C465" s="489" t="s">
        <v>363</v>
      </c>
      <c r="D465" s="12" t="s">
        <v>96</v>
      </c>
      <c r="E465" s="13"/>
      <c r="F465" s="2"/>
      <c r="G465" s="65"/>
      <c r="H465" s="65"/>
      <c r="I465" s="65"/>
    </row>
    <row r="466" spans="1:10" s="58" customFormat="1" hidden="1" x14ac:dyDescent="0.25">
      <c r="A466" s="104">
        <v>1</v>
      </c>
      <c r="B466" s="575">
        <v>3241001</v>
      </c>
      <c r="C466" s="489" t="s">
        <v>363</v>
      </c>
      <c r="D466" s="14" t="s">
        <v>296</v>
      </c>
      <c r="E466" s="13"/>
      <c r="F466" s="2"/>
      <c r="G466" s="65"/>
      <c r="H466" s="65"/>
      <c r="I466" s="65"/>
    </row>
    <row r="467" spans="1:10" s="58" customFormat="1" hidden="1" x14ac:dyDescent="0.25">
      <c r="A467" s="104">
        <v>1</v>
      </c>
      <c r="B467" s="575">
        <v>3241001</v>
      </c>
      <c r="C467" s="489" t="s">
        <v>363</v>
      </c>
      <c r="D467" s="15" t="s">
        <v>297</v>
      </c>
      <c r="E467" s="13"/>
      <c r="F467" s="2"/>
      <c r="G467" s="65"/>
      <c r="H467" s="65"/>
      <c r="I467" s="65"/>
    </row>
    <row r="468" spans="1:10" s="58" customFormat="1" ht="30" hidden="1" x14ac:dyDescent="0.25">
      <c r="A468" s="104">
        <v>1</v>
      </c>
      <c r="B468" s="575">
        <v>3241001</v>
      </c>
      <c r="C468" s="489" t="s">
        <v>363</v>
      </c>
      <c r="D468" s="16" t="s">
        <v>298</v>
      </c>
      <c r="E468" s="13"/>
      <c r="F468" s="2"/>
      <c r="G468" s="65"/>
      <c r="H468" s="65"/>
      <c r="I468" s="65"/>
    </row>
    <row r="469" spans="1:10" s="124" customFormat="1" hidden="1" x14ac:dyDescent="0.25">
      <c r="A469" s="104"/>
      <c r="B469" s="575">
        <v>3241001</v>
      </c>
      <c r="C469" s="489" t="s">
        <v>363</v>
      </c>
      <c r="D469" s="15" t="s">
        <v>299</v>
      </c>
      <c r="E469" s="13"/>
      <c r="F469" s="13"/>
      <c r="G469" s="10"/>
      <c r="H469" s="10"/>
      <c r="I469" s="10"/>
      <c r="J469" s="58"/>
    </row>
    <row r="470" spans="1:10" s="58" customFormat="1" ht="30" hidden="1" x14ac:dyDescent="0.25">
      <c r="A470" s="104">
        <v>1</v>
      </c>
      <c r="B470" s="575">
        <v>3241001</v>
      </c>
      <c r="C470" s="489" t="s">
        <v>363</v>
      </c>
      <c r="D470" s="15" t="s">
        <v>300</v>
      </c>
      <c r="E470" s="13"/>
      <c r="F470" s="57"/>
      <c r="G470" s="65"/>
      <c r="H470" s="65"/>
      <c r="I470" s="65"/>
    </row>
    <row r="471" spans="1:10" s="58" customFormat="1" ht="45" hidden="1" x14ac:dyDescent="0.25">
      <c r="A471" s="104">
        <v>1</v>
      </c>
      <c r="B471" s="575">
        <v>3241001</v>
      </c>
      <c r="C471" s="489" t="s">
        <v>363</v>
      </c>
      <c r="D471" s="15" t="s">
        <v>301</v>
      </c>
      <c r="E471" s="13"/>
      <c r="F471" s="57"/>
      <c r="G471" s="65"/>
      <c r="H471" s="65"/>
      <c r="I471" s="65"/>
    </row>
    <row r="472" spans="1:10" s="58" customFormat="1" ht="45" hidden="1" x14ac:dyDescent="0.25">
      <c r="A472" s="104">
        <v>1</v>
      </c>
      <c r="B472" s="575">
        <v>3241001</v>
      </c>
      <c r="C472" s="489" t="s">
        <v>363</v>
      </c>
      <c r="D472" s="15" t="s">
        <v>309</v>
      </c>
      <c r="E472" s="13"/>
      <c r="F472" s="57"/>
      <c r="G472" s="65"/>
      <c r="H472" s="65"/>
      <c r="I472" s="65"/>
    </row>
    <row r="473" spans="1:10" s="58" customFormat="1" ht="45" hidden="1" x14ac:dyDescent="0.25">
      <c r="A473" s="104">
        <v>1</v>
      </c>
      <c r="B473" s="575">
        <v>3241001</v>
      </c>
      <c r="C473" s="489" t="s">
        <v>363</v>
      </c>
      <c r="D473" s="18" t="s">
        <v>310</v>
      </c>
      <c r="E473" s="13"/>
      <c r="F473" s="78"/>
      <c r="G473" s="65"/>
      <c r="H473" s="65"/>
      <c r="I473" s="65"/>
    </row>
    <row r="474" spans="1:10" s="58" customFormat="1" hidden="1" x14ac:dyDescent="0.25">
      <c r="A474" s="104">
        <v>1</v>
      </c>
      <c r="B474" s="575">
        <v>3241001</v>
      </c>
      <c r="C474" s="489" t="s">
        <v>363</v>
      </c>
      <c r="D474" s="14" t="s">
        <v>303</v>
      </c>
      <c r="E474" s="13"/>
      <c r="F474" s="2">
        <f>F475</f>
        <v>300</v>
      </c>
      <c r="G474" s="65"/>
      <c r="H474" s="65"/>
      <c r="I474" s="65"/>
    </row>
    <row r="475" spans="1:10" s="58" customFormat="1" hidden="1" x14ac:dyDescent="0.25">
      <c r="A475" s="104">
        <v>1</v>
      </c>
      <c r="B475" s="575">
        <v>3241001</v>
      </c>
      <c r="C475" s="489" t="s">
        <v>363</v>
      </c>
      <c r="D475" s="14" t="s">
        <v>304</v>
      </c>
      <c r="E475" s="13"/>
      <c r="F475" s="2">
        <v>300</v>
      </c>
      <c r="G475" s="65"/>
      <c r="H475" s="65"/>
      <c r="I475" s="65"/>
    </row>
    <row r="476" spans="1:10" s="58" customFormat="1" hidden="1" x14ac:dyDescent="0.25">
      <c r="A476" s="104">
        <v>1</v>
      </c>
      <c r="B476" s="575">
        <v>3241001</v>
      </c>
      <c r="C476" s="489" t="s">
        <v>363</v>
      </c>
      <c r="D476" s="15" t="s">
        <v>305</v>
      </c>
      <c r="E476" s="13"/>
      <c r="F476" s="39"/>
      <c r="G476" s="65"/>
      <c r="H476" s="65"/>
      <c r="I476" s="65"/>
    </row>
    <row r="477" spans="1:10" s="58" customFormat="1" hidden="1" x14ac:dyDescent="0.25">
      <c r="A477" s="104">
        <v>1</v>
      </c>
      <c r="B477" s="575">
        <v>3241001</v>
      </c>
      <c r="C477" s="489" t="s">
        <v>363</v>
      </c>
      <c r="D477" s="42" t="s">
        <v>314</v>
      </c>
      <c r="E477" s="13"/>
      <c r="F477" s="39"/>
      <c r="G477" s="65"/>
      <c r="H477" s="65"/>
      <c r="I477" s="65"/>
    </row>
    <row r="478" spans="1:10" s="58" customFormat="1" ht="29.25" hidden="1" x14ac:dyDescent="0.25">
      <c r="A478" s="104">
        <v>1</v>
      </c>
      <c r="B478" s="575">
        <v>3241001</v>
      </c>
      <c r="C478" s="489" t="s">
        <v>363</v>
      </c>
      <c r="D478" s="14" t="s">
        <v>306</v>
      </c>
      <c r="E478" s="13"/>
      <c r="F478" s="39">
        <f>17500-F480</f>
        <v>16600</v>
      </c>
      <c r="G478" s="65"/>
      <c r="H478" s="65"/>
      <c r="I478" s="65"/>
    </row>
    <row r="479" spans="1:10" s="58" customFormat="1" hidden="1" x14ac:dyDescent="0.25">
      <c r="A479" s="104">
        <v>1</v>
      </c>
      <c r="B479" s="575">
        <v>3241001</v>
      </c>
      <c r="C479" s="489" t="s">
        <v>363</v>
      </c>
      <c r="D479" s="19" t="s">
        <v>115</v>
      </c>
      <c r="E479" s="13"/>
      <c r="F479" s="39">
        <v>5000</v>
      </c>
      <c r="G479" s="65"/>
      <c r="H479" s="65"/>
      <c r="I479" s="65"/>
    </row>
    <row r="480" spans="1:10" s="58" customFormat="1" ht="57.75" hidden="1" x14ac:dyDescent="0.25">
      <c r="A480" s="104">
        <v>1</v>
      </c>
      <c r="B480" s="575">
        <v>3241001</v>
      </c>
      <c r="C480" s="489" t="s">
        <v>363</v>
      </c>
      <c r="D480" s="14" t="s">
        <v>307</v>
      </c>
      <c r="E480" s="13"/>
      <c r="F480" s="2">
        <v>900</v>
      </c>
      <c r="G480" s="65"/>
      <c r="H480" s="65"/>
      <c r="I480" s="65"/>
    </row>
    <row r="481" spans="1:68" s="58" customFormat="1" hidden="1" x14ac:dyDescent="0.25">
      <c r="A481" s="104">
        <v>1</v>
      </c>
      <c r="B481" s="575">
        <v>3241001</v>
      </c>
      <c r="C481" s="489" t="s">
        <v>363</v>
      </c>
      <c r="D481" s="20" t="s">
        <v>158</v>
      </c>
      <c r="E481" s="13"/>
      <c r="F481" s="29">
        <f>SUM(F482:F488)</f>
        <v>117532</v>
      </c>
      <c r="G481" s="65"/>
      <c r="H481" s="65"/>
      <c r="I481" s="65"/>
    </row>
    <row r="482" spans="1:68" s="58" customFormat="1" hidden="1" x14ac:dyDescent="0.25">
      <c r="A482" s="104">
        <v>1</v>
      </c>
      <c r="B482" s="575">
        <v>3241001</v>
      </c>
      <c r="C482" s="489" t="s">
        <v>363</v>
      </c>
      <c r="D482" s="19" t="s">
        <v>53</v>
      </c>
      <c r="E482" s="13"/>
      <c r="F482" s="2">
        <v>60486</v>
      </c>
      <c r="G482" s="65"/>
      <c r="H482" s="65"/>
      <c r="I482" s="65"/>
    </row>
    <row r="483" spans="1:68" s="58" customFormat="1" hidden="1" x14ac:dyDescent="0.25">
      <c r="A483" s="104">
        <v>1</v>
      </c>
      <c r="B483" s="575">
        <v>3241001</v>
      </c>
      <c r="C483" s="489" t="s">
        <v>363</v>
      </c>
      <c r="D483" s="19" t="s">
        <v>151</v>
      </c>
      <c r="E483" s="13"/>
      <c r="F483" s="445">
        <v>19000</v>
      </c>
      <c r="G483" s="65"/>
      <c r="H483" s="65"/>
      <c r="I483" s="65"/>
    </row>
    <row r="484" spans="1:68" s="58" customFormat="1" ht="30" hidden="1" x14ac:dyDescent="0.25">
      <c r="A484" s="104">
        <v>1</v>
      </c>
      <c r="B484" s="575">
        <v>3241001</v>
      </c>
      <c r="C484" s="489" t="s">
        <v>363</v>
      </c>
      <c r="D484" s="19" t="s">
        <v>125</v>
      </c>
      <c r="E484" s="13"/>
      <c r="F484" s="2">
        <v>5500</v>
      </c>
      <c r="G484" s="65"/>
      <c r="H484" s="65"/>
      <c r="I484" s="65"/>
    </row>
    <row r="485" spans="1:68" s="124" customFormat="1" ht="45" hidden="1" x14ac:dyDescent="0.25">
      <c r="A485" s="104">
        <v>1</v>
      </c>
      <c r="B485" s="575">
        <v>3241001</v>
      </c>
      <c r="C485" s="489" t="s">
        <v>363</v>
      </c>
      <c r="D485" s="19" t="s">
        <v>282</v>
      </c>
      <c r="E485" s="94"/>
      <c r="F485" s="78">
        <v>30401</v>
      </c>
      <c r="G485" s="465"/>
      <c r="H485" s="465"/>
      <c r="I485" s="465"/>
      <c r="J485" s="58"/>
    </row>
    <row r="486" spans="1:68" s="58" customFormat="1" ht="30" hidden="1" x14ac:dyDescent="0.25">
      <c r="A486" s="104">
        <v>1</v>
      </c>
      <c r="B486" s="575">
        <v>3241001</v>
      </c>
      <c r="C486" s="489" t="s">
        <v>363</v>
      </c>
      <c r="D486" s="19" t="s">
        <v>203</v>
      </c>
      <c r="E486" s="62"/>
      <c r="F486" s="78">
        <v>55</v>
      </c>
      <c r="G486" s="465"/>
      <c r="H486" s="465"/>
      <c r="I486" s="465"/>
    </row>
    <row r="487" spans="1:68" s="58" customFormat="1" ht="30" hidden="1" x14ac:dyDescent="0.25">
      <c r="A487" s="104">
        <v>1</v>
      </c>
      <c r="B487" s="575">
        <v>3241001</v>
      </c>
      <c r="C487" s="489" t="s">
        <v>363</v>
      </c>
      <c r="D487" s="19" t="s">
        <v>202</v>
      </c>
      <c r="E487" s="13"/>
      <c r="F487" s="2">
        <v>1400</v>
      </c>
      <c r="G487" s="465"/>
      <c r="H487" s="465"/>
      <c r="I487" s="465"/>
    </row>
    <row r="488" spans="1:68" s="58" customFormat="1" hidden="1" x14ac:dyDescent="0.25">
      <c r="A488" s="104"/>
      <c r="B488" s="575"/>
      <c r="C488" s="489" t="s">
        <v>363</v>
      </c>
      <c r="D488" s="19" t="s">
        <v>118</v>
      </c>
      <c r="E488" s="62"/>
      <c r="F488" s="78">
        <v>690</v>
      </c>
      <c r="G488" s="465"/>
      <c r="H488" s="465"/>
      <c r="I488" s="465"/>
    </row>
    <row r="489" spans="1:68" s="58" customFormat="1" hidden="1" x14ac:dyDescent="0.25">
      <c r="A489" s="104"/>
      <c r="B489" s="575">
        <v>3241001</v>
      </c>
      <c r="C489" s="489" t="s">
        <v>363</v>
      </c>
      <c r="D489" s="21" t="s">
        <v>198</v>
      </c>
      <c r="E489" s="13"/>
      <c r="F489" s="29">
        <f>F466+F446</f>
        <v>40686</v>
      </c>
      <c r="G489" s="465"/>
      <c r="H489" s="465"/>
      <c r="I489" s="465"/>
    </row>
    <row r="490" spans="1:68" s="58" customFormat="1" ht="29.25" hidden="1" x14ac:dyDescent="0.25">
      <c r="A490" s="104"/>
      <c r="B490" s="575">
        <v>3241001</v>
      </c>
      <c r="C490" s="489" t="s">
        <v>363</v>
      </c>
      <c r="D490" s="21" t="s">
        <v>199</v>
      </c>
      <c r="E490" s="13"/>
      <c r="F490" s="29">
        <f>F455</f>
        <v>47565</v>
      </c>
      <c r="G490" s="465"/>
      <c r="H490" s="465"/>
      <c r="I490" s="465"/>
    </row>
    <row r="491" spans="1:68" s="58" customFormat="1" hidden="1" x14ac:dyDescent="0.25">
      <c r="A491" s="104"/>
      <c r="B491" s="575">
        <v>3241001</v>
      </c>
      <c r="C491" s="489" t="s">
        <v>363</v>
      </c>
      <c r="D491" s="21" t="s">
        <v>200</v>
      </c>
      <c r="E491" s="13"/>
      <c r="F491" s="29">
        <f>F474+F453</f>
        <v>60633</v>
      </c>
      <c r="G491" s="465"/>
      <c r="H491" s="465"/>
      <c r="I491" s="465"/>
    </row>
    <row r="492" spans="1:68" s="58" customFormat="1" ht="29.25" hidden="1" x14ac:dyDescent="0.25">
      <c r="A492" s="104"/>
      <c r="B492" s="575">
        <v>3241001</v>
      </c>
      <c r="C492" s="489" t="s">
        <v>363</v>
      </c>
      <c r="D492" s="21" t="s">
        <v>201</v>
      </c>
      <c r="E492" s="13"/>
      <c r="F492" s="29">
        <f>F478+F480</f>
        <v>17500</v>
      </c>
      <c r="G492" s="465"/>
      <c r="H492" s="465"/>
      <c r="I492" s="465"/>
    </row>
    <row r="493" spans="1:68" s="58" customFormat="1" hidden="1" x14ac:dyDescent="0.25">
      <c r="A493" s="104"/>
      <c r="B493" s="575">
        <v>3241001</v>
      </c>
      <c r="C493" s="489" t="s">
        <v>363</v>
      </c>
      <c r="D493" s="22" t="s">
        <v>109</v>
      </c>
      <c r="E493" s="13"/>
      <c r="F493" s="29">
        <f>F489+F490+(F454+F475)*2.9+F492</f>
        <v>281586.69999999995</v>
      </c>
      <c r="G493" s="465"/>
      <c r="H493" s="465"/>
      <c r="I493" s="465"/>
    </row>
    <row r="494" spans="1:68" hidden="1" x14ac:dyDescent="0.25">
      <c r="A494" s="104">
        <v>1</v>
      </c>
      <c r="B494" s="575">
        <v>3241001</v>
      </c>
      <c r="C494" s="489" t="s">
        <v>363</v>
      </c>
      <c r="D494" s="30" t="s">
        <v>7</v>
      </c>
      <c r="E494" s="354"/>
      <c r="F494" s="2"/>
      <c r="G494" s="2"/>
      <c r="H494" s="2"/>
      <c r="I494" s="2"/>
      <c r="J494" s="124"/>
      <c r="K494" s="124"/>
      <c r="L494" s="124"/>
      <c r="M494" s="124"/>
      <c r="N494" s="124"/>
      <c r="O494" s="124"/>
      <c r="P494" s="124"/>
      <c r="Q494" s="124"/>
      <c r="R494" s="124"/>
      <c r="S494" s="124"/>
      <c r="T494" s="124"/>
      <c r="U494" s="124"/>
      <c r="V494" s="124"/>
      <c r="W494" s="124"/>
      <c r="X494" s="124"/>
      <c r="Y494" s="124"/>
      <c r="Z494" s="124"/>
      <c r="AA494" s="124"/>
      <c r="AB494" s="124"/>
      <c r="AC494" s="124"/>
      <c r="AD494" s="124"/>
      <c r="AE494" s="124"/>
      <c r="AF494" s="124"/>
      <c r="AG494" s="124"/>
      <c r="AH494" s="124"/>
      <c r="AI494" s="124"/>
      <c r="AJ494" s="124"/>
      <c r="AK494" s="124"/>
      <c r="AL494" s="124"/>
      <c r="AM494" s="124"/>
      <c r="AN494" s="124"/>
      <c r="AO494" s="124"/>
      <c r="AP494" s="124"/>
      <c r="AQ494" s="124"/>
      <c r="AR494" s="124"/>
      <c r="AS494" s="124"/>
      <c r="AT494" s="124"/>
      <c r="AU494" s="124"/>
      <c r="AV494" s="124"/>
      <c r="AW494" s="124"/>
      <c r="AX494" s="124"/>
      <c r="AY494" s="124"/>
      <c r="AZ494" s="124"/>
      <c r="BA494" s="124"/>
      <c r="BB494" s="124"/>
      <c r="BC494" s="124"/>
      <c r="BD494" s="124"/>
      <c r="BE494" s="124"/>
      <c r="BF494" s="124"/>
      <c r="BG494" s="124"/>
      <c r="BH494" s="124"/>
      <c r="BI494" s="124"/>
      <c r="BJ494" s="124"/>
      <c r="BK494" s="124"/>
      <c r="BL494" s="124"/>
      <c r="BM494" s="124"/>
      <c r="BN494" s="124"/>
      <c r="BO494" s="124"/>
      <c r="BP494" s="124"/>
    </row>
    <row r="495" spans="1:68" hidden="1" x14ac:dyDescent="0.25">
      <c r="A495" s="104">
        <v>1</v>
      </c>
      <c r="B495" s="575">
        <v>3241001</v>
      </c>
      <c r="C495" s="489" t="s">
        <v>363</v>
      </c>
      <c r="D495" s="40" t="s">
        <v>91</v>
      </c>
      <c r="E495" s="354"/>
      <c r="F495" s="2"/>
      <c r="G495" s="2"/>
      <c r="H495" s="2"/>
      <c r="I495" s="2"/>
      <c r="J495" s="124"/>
      <c r="K495" s="124"/>
      <c r="L495" s="124"/>
      <c r="M495" s="124"/>
      <c r="N495" s="124"/>
      <c r="O495" s="124"/>
      <c r="P495" s="124"/>
      <c r="Q495" s="124"/>
      <c r="R495" s="124"/>
      <c r="S495" s="124"/>
      <c r="T495" s="124"/>
      <c r="U495" s="124"/>
      <c r="V495" s="124"/>
      <c r="W495" s="124"/>
      <c r="X495" s="124"/>
      <c r="Y495" s="124"/>
      <c r="Z495" s="124"/>
      <c r="AA495" s="124"/>
      <c r="AB495" s="124"/>
      <c r="AC495" s="124"/>
      <c r="AD495" s="124"/>
      <c r="AE495" s="124"/>
      <c r="AF495" s="124"/>
      <c r="AG495" s="124"/>
      <c r="AH495" s="124"/>
      <c r="AI495" s="124"/>
      <c r="AJ495" s="124"/>
      <c r="AK495" s="124"/>
      <c r="AL495" s="124"/>
      <c r="AM495" s="124"/>
      <c r="AN495" s="124"/>
      <c r="AO495" s="124"/>
      <c r="AP495" s="124"/>
      <c r="AQ495" s="124"/>
      <c r="AR495" s="124"/>
      <c r="AS495" s="124"/>
      <c r="AT495" s="124"/>
      <c r="AU495" s="124"/>
      <c r="AV495" s="124"/>
      <c r="AW495" s="124"/>
      <c r="AX495" s="124"/>
      <c r="AY495" s="124"/>
      <c r="AZ495" s="124"/>
      <c r="BA495" s="124"/>
      <c r="BB495" s="124"/>
      <c r="BC495" s="124"/>
      <c r="BD495" s="124"/>
      <c r="BE495" s="124"/>
      <c r="BF495" s="124"/>
      <c r="BG495" s="124"/>
      <c r="BH495" s="124"/>
      <c r="BI495" s="124"/>
      <c r="BJ495" s="124"/>
      <c r="BK495" s="124"/>
      <c r="BL495" s="124"/>
      <c r="BM495" s="124"/>
      <c r="BN495" s="124"/>
      <c r="BO495" s="124"/>
      <c r="BP495" s="124"/>
    </row>
    <row r="496" spans="1:68" hidden="1" x14ac:dyDescent="0.25">
      <c r="A496" s="104">
        <v>1</v>
      </c>
      <c r="B496" s="575">
        <v>3241001</v>
      </c>
      <c r="C496" s="489" t="s">
        <v>363</v>
      </c>
      <c r="D496" s="1" t="s">
        <v>40</v>
      </c>
      <c r="E496" s="354">
        <v>300</v>
      </c>
      <c r="F496" s="2">
        <v>224</v>
      </c>
      <c r="G496" s="355">
        <v>10</v>
      </c>
      <c r="H496" s="2">
        <f>ROUND(I496/E496,0)</f>
        <v>7</v>
      </c>
      <c r="I496" s="2">
        <f>ROUND(F496*G496,0)</f>
        <v>2240</v>
      </c>
      <c r="J496" s="124"/>
      <c r="K496" s="124"/>
      <c r="L496" s="124"/>
      <c r="M496" s="124"/>
      <c r="N496" s="124"/>
      <c r="O496" s="124"/>
      <c r="P496" s="124"/>
      <c r="Q496" s="124"/>
      <c r="R496" s="124"/>
      <c r="S496" s="124"/>
      <c r="T496" s="124"/>
      <c r="U496" s="124"/>
      <c r="V496" s="124"/>
      <c r="W496" s="124"/>
      <c r="X496" s="124"/>
      <c r="Y496" s="124"/>
      <c r="Z496" s="124"/>
      <c r="AA496" s="124"/>
      <c r="AB496" s="124"/>
      <c r="AC496" s="124"/>
      <c r="AD496" s="124"/>
      <c r="AE496" s="124"/>
      <c r="AF496" s="124"/>
      <c r="AG496" s="124"/>
      <c r="AH496" s="124"/>
      <c r="AI496" s="124"/>
      <c r="AJ496" s="124"/>
      <c r="AK496" s="124"/>
      <c r="AL496" s="124"/>
      <c r="AM496" s="124"/>
      <c r="AN496" s="124"/>
      <c r="AO496" s="124"/>
      <c r="AP496" s="124"/>
      <c r="AQ496" s="124"/>
      <c r="AR496" s="124"/>
      <c r="AS496" s="124"/>
      <c r="AT496" s="124"/>
      <c r="AU496" s="124"/>
      <c r="AV496" s="124"/>
      <c r="AW496" s="124"/>
      <c r="AX496" s="124"/>
      <c r="AY496" s="124"/>
      <c r="AZ496" s="124"/>
      <c r="BA496" s="124"/>
      <c r="BB496" s="124"/>
      <c r="BC496" s="124"/>
      <c r="BD496" s="124"/>
      <c r="BE496" s="124"/>
      <c r="BF496" s="124"/>
      <c r="BG496" s="124"/>
      <c r="BH496" s="124"/>
      <c r="BI496" s="124"/>
      <c r="BJ496" s="124"/>
      <c r="BK496" s="124"/>
      <c r="BL496" s="124"/>
      <c r="BM496" s="124"/>
      <c r="BN496" s="124"/>
      <c r="BO496" s="124"/>
      <c r="BP496" s="124"/>
    </row>
    <row r="497" spans="1:68" hidden="1" x14ac:dyDescent="0.25">
      <c r="A497" s="104">
        <v>1</v>
      </c>
      <c r="B497" s="575">
        <v>3241001</v>
      </c>
      <c r="C497" s="489" t="s">
        <v>363</v>
      </c>
      <c r="D497" s="30" t="s">
        <v>9</v>
      </c>
      <c r="E497" s="354"/>
      <c r="F497" s="31">
        <f>SUM(F496)</f>
        <v>224</v>
      </c>
      <c r="G497" s="143">
        <f>I497/F497</f>
        <v>10</v>
      </c>
      <c r="H497" s="31">
        <f>SUM(H496)</f>
        <v>7</v>
      </c>
      <c r="I497" s="31">
        <f>SUM(I496)</f>
        <v>2240</v>
      </c>
      <c r="J497" s="124"/>
      <c r="K497" s="124"/>
      <c r="L497" s="124"/>
      <c r="M497" s="124"/>
      <c r="N497" s="124"/>
      <c r="O497" s="124"/>
      <c r="P497" s="124"/>
      <c r="Q497" s="124"/>
      <c r="R497" s="124"/>
      <c r="S497" s="124"/>
      <c r="T497" s="124"/>
      <c r="U497" s="124"/>
      <c r="V497" s="124"/>
      <c r="W497" s="124"/>
      <c r="X497" s="124"/>
      <c r="Y497" s="124"/>
      <c r="Z497" s="124"/>
      <c r="AA497" s="124"/>
      <c r="AB497" s="124"/>
      <c r="AC497" s="124"/>
      <c r="AD497" s="124"/>
      <c r="AE497" s="124"/>
      <c r="AF497" s="124"/>
      <c r="AG497" s="124"/>
      <c r="AH497" s="124"/>
      <c r="AI497" s="124"/>
      <c r="AJ497" s="124"/>
      <c r="AK497" s="124"/>
      <c r="AL497" s="124"/>
      <c r="AM497" s="124"/>
      <c r="AN497" s="124"/>
      <c r="AO497" s="124"/>
      <c r="AP497" s="124"/>
      <c r="AQ497" s="124"/>
      <c r="AR497" s="124"/>
      <c r="AS497" s="124"/>
      <c r="AT497" s="124"/>
      <c r="AU497" s="124"/>
      <c r="AV497" s="124"/>
      <c r="AW497" s="124"/>
      <c r="AX497" s="124"/>
      <c r="AY497" s="124"/>
      <c r="AZ497" s="124"/>
      <c r="BA497" s="124"/>
      <c r="BB497" s="124"/>
      <c r="BC497" s="124"/>
      <c r="BD497" s="124"/>
      <c r="BE497" s="124"/>
      <c r="BF497" s="124"/>
      <c r="BG497" s="124"/>
      <c r="BH497" s="124"/>
      <c r="BI497" s="124"/>
      <c r="BJ497" s="124"/>
      <c r="BK497" s="124"/>
      <c r="BL497" s="124"/>
      <c r="BM497" s="124"/>
      <c r="BN497" s="124"/>
      <c r="BO497" s="124"/>
      <c r="BP497" s="124"/>
    </row>
    <row r="498" spans="1:68" ht="12" hidden="1" customHeight="1" x14ac:dyDescent="0.25">
      <c r="A498" s="104">
        <v>1</v>
      </c>
      <c r="B498" s="575">
        <v>3241001</v>
      </c>
      <c r="C498" s="489" t="s">
        <v>363</v>
      </c>
      <c r="D498" s="40" t="s">
        <v>18</v>
      </c>
      <c r="E498" s="354"/>
      <c r="F498" s="31"/>
      <c r="G498" s="592"/>
      <c r="H498" s="31"/>
      <c r="I498" s="31"/>
      <c r="J498" s="124"/>
      <c r="K498" s="124"/>
      <c r="L498" s="124"/>
      <c r="M498" s="124"/>
      <c r="N498" s="124"/>
      <c r="O498" s="124"/>
      <c r="P498" s="124"/>
      <c r="Q498" s="124"/>
      <c r="R498" s="124"/>
      <c r="S498" s="124"/>
      <c r="T498" s="124"/>
      <c r="U498" s="124"/>
      <c r="V498" s="124"/>
      <c r="W498" s="124"/>
      <c r="X498" s="124"/>
      <c r="Y498" s="124"/>
      <c r="Z498" s="124"/>
      <c r="AA498" s="124"/>
      <c r="AB498" s="124"/>
      <c r="AC498" s="124"/>
      <c r="AD498" s="124"/>
      <c r="AE498" s="124"/>
      <c r="AF498" s="124"/>
      <c r="AG498" s="124"/>
      <c r="AH498" s="124"/>
      <c r="AI498" s="124"/>
      <c r="AJ498" s="124"/>
      <c r="AK498" s="124"/>
      <c r="AL498" s="124"/>
      <c r="AM498" s="124"/>
      <c r="AN498" s="124"/>
      <c r="AO498" s="124"/>
      <c r="AP498" s="124"/>
      <c r="AQ498" s="124"/>
      <c r="AR498" s="124"/>
      <c r="AS498" s="124"/>
      <c r="AT498" s="124"/>
      <c r="AU498" s="124"/>
      <c r="AV498" s="124"/>
      <c r="AW498" s="124"/>
      <c r="AX498" s="124"/>
      <c r="AY498" s="124"/>
      <c r="AZ498" s="124"/>
      <c r="BA498" s="124"/>
      <c r="BB498" s="124"/>
      <c r="BC498" s="124"/>
      <c r="BD498" s="124"/>
      <c r="BE498" s="124"/>
      <c r="BF498" s="124"/>
      <c r="BG498" s="124"/>
      <c r="BH498" s="124"/>
      <c r="BI498" s="124"/>
      <c r="BJ498" s="124"/>
      <c r="BK498" s="124"/>
      <c r="BL498" s="124"/>
      <c r="BM498" s="124"/>
      <c r="BN498" s="124"/>
      <c r="BO498" s="124"/>
      <c r="BP498" s="124"/>
    </row>
    <row r="499" spans="1:68" hidden="1" x14ac:dyDescent="0.25">
      <c r="A499" s="104">
        <v>1</v>
      </c>
      <c r="B499" s="575">
        <v>3241001</v>
      </c>
      <c r="C499" s="489" t="s">
        <v>363</v>
      </c>
      <c r="D499" s="643" t="s">
        <v>55</v>
      </c>
      <c r="E499" s="354">
        <v>240</v>
      </c>
      <c r="F499" s="2">
        <v>130</v>
      </c>
      <c r="G499" s="355">
        <v>3</v>
      </c>
      <c r="H499" s="2">
        <f>ROUND(I499/E499,0)</f>
        <v>2</v>
      </c>
      <c r="I499" s="2">
        <f>ROUND(F499*G499,0)</f>
        <v>390</v>
      </c>
      <c r="J499" s="124"/>
      <c r="K499" s="124"/>
      <c r="L499" s="124"/>
      <c r="M499" s="124"/>
      <c r="N499" s="124"/>
      <c r="O499" s="124"/>
      <c r="P499" s="124"/>
      <c r="Q499" s="124"/>
      <c r="R499" s="124"/>
      <c r="S499" s="124"/>
      <c r="T499" s="124"/>
      <c r="U499" s="124"/>
      <c r="V499" s="124"/>
      <c r="W499" s="124"/>
      <c r="X499" s="124"/>
      <c r="Y499" s="124"/>
      <c r="Z499" s="124"/>
      <c r="AA499" s="124"/>
      <c r="AB499" s="124"/>
      <c r="AC499" s="124"/>
      <c r="AD499" s="124"/>
      <c r="AE499" s="124"/>
      <c r="AF499" s="124"/>
      <c r="AG499" s="124"/>
      <c r="AH499" s="124"/>
      <c r="AI499" s="124"/>
      <c r="AJ499" s="124"/>
      <c r="AK499" s="124"/>
      <c r="AL499" s="124"/>
      <c r="AM499" s="124"/>
      <c r="AN499" s="124"/>
      <c r="AO499" s="124"/>
      <c r="AP499" s="124"/>
      <c r="AQ499" s="124"/>
      <c r="AR499" s="124"/>
      <c r="AS499" s="124"/>
      <c r="AT499" s="124"/>
      <c r="AU499" s="124"/>
      <c r="AV499" s="124"/>
      <c r="AW499" s="124"/>
      <c r="AX499" s="124"/>
      <c r="AY499" s="124"/>
      <c r="AZ499" s="124"/>
      <c r="BA499" s="124"/>
      <c r="BB499" s="124"/>
      <c r="BC499" s="124"/>
      <c r="BD499" s="124"/>
      <c r="BE499" s="124"/>
      <c r="BF499" s="124"/>
      <c r="BG499" s="124"/>
      <c r="BH499" s="124"/>
      <c r="BI499" s="124"/>
      <c r="BJ499" s="124"/>
      <c r="BK499" s="124"/>
      <c r="BL499" s="124"/>
      <c r="BM499" s="124"/>
      <c r="BN499" s="124"/>
      <c r="BO499" s="124"/>
      <c r="BP499" s="124"/>
    </row>
    <row r="500" spans="1:68" hidden="1" x14ac:dyDescent="0.25">
      <c r="A500" s="104">
        <v>1</v>
      </c>
      <c r="B500" s="575">
        <v>3241001</v>
      </c>
      <c r="C500" s="489" t="s">
        <v>363</v>
      </c>
      <c r="D500" s="25" t="s">
        <v>24</v>
      </c>
      <c r="E500" s="354">
        <v>240</v>
      </c>
      <c r="F500" s="2">
        <v>643</v>
      </c>
      <c r="G500" s="355">
        <v>8</v>
      </c>
      <c r="H500" s="2">
        <f>ROUND(I500/E500,0)</f>
        <v>21</v>
      </c>
      <c r="I500" s="2">
        <f>ROUND(F500*G500,0)</f>
        <v>5144</v>
      </c>
      <c r="J500" s="124"/>
      <c r="K500" s="124"/>
      <c r="L500" s="124"/>
      <c r="M500" s="124"/>
      <c r="N500" s="124"/>
      <c r="O500" s="124"/>
      <c r="P500" s="124"/>
      <c r="Q500" s="124"/>
      <c r="R500" s="124"/>
      <c r="S500" s="124"/>
      <c r="T500" s="124"/>
      <c r="U500" s="124"/>
      <c r="V500" s="124"/>
      <c r="W500" s="124"/>
      <c r="X500" s="124"/>
      <c r="Y500" s="124"/>
      <c r="Z500" s="124"/>
      <c r="AA500" s="124"/>
      <c r="AB500" s="124"/>
      <c r="AC500" s="124"/>
      <c r="AD500" s="124"/>
      <c r="AE500" s="124"/>
      <c r="AF500" s="124"/>
      <c r="AG500" s="124"/>
      <c r="AH500" s="124"/>
      <c r="AI500" s="124"/>
      <c r="AJ500" s="124"/>
      <c r="AK500" s="124"/>
      <c r="AL500" s="124"/>
      <c r="AM500" s="124"/>
      <c r="AN500" s="124"/>
      <c r="AO500" s="124"/>
      <c r="AP500" s="124"/>
      <c r="AQ500" s="124"/>
      <c r="AR500" s="124"/>
      <c r="AS500" s="124"/>
      <c r="AT500" s="124"/>
      <c r="AU500" s="124"/>
      <c r="AV500" s="124"/>
      <c r="AW500" s="124"/>
      <c r="AX500" s="124"/>
      <c r="AY500" s="124"/>
      <c r="AZ500" s="124"/>
      <c r="BA500" s="124"/>
      <c r="BB500" s="124"/>
      <c r="BC500" s="124"/>
      <c r="BD500" s="124"/>
      <c r="BE500" s="124"/>
      <c r="BF500" s="124"/>
      <c r="BG500" s="124"/>
      <c r="BH500" s="124"/>
      <c r="BI500" s="124"/>
      <c r="BJ500" s="124"/>
      <c r="BK500" s="124"/>
      <c r="BL500" s="124"/>
      <c r="BM500" s="124"/>
      <c r="BN500" s="124"/>
      <c r="BO500" s="124"/>
      <c r="BP500" s="124"/>
    </row>
    <row r="501" spans="1:68" hidden="1" x14ac:dyDescent="0.25">
      <c r="A501" s="104">
        <v>1</v>
      </c>
      <c r="B501" s="575">
        <v>3241001</v>
      </c>
      <c r="C501" s="489" t="s">
        <v>363</v>
      </c>
      <c r="D501" s="634" t="s">
        <v>92</v>
      </c>
      <c r="E501" s="354"/>
      <c r="F501" s="31">
        <f>SUM(F499:F500)</f>
        <v>773</v>
      </c>
      <c r="G501" s="143">
        <f>I501/F501</f>
        <v>7.1591203104786549</v>
      </c>
      <c r="H501" s="31">
        <f>SUM(H499:H500)</f>
        <v>23</v>
      </c>
      <c r="I501" s="31">
        <f>SUM(I499:I500)</f>
        <v>5534</v>
      </c>
      <c r="J501" s="124"/>
      <c r="K501" s="124"/>
      <c r="L501" s="124"/>
      <c r="M501" s="124"/>
      <c r="N501" s="124"/>
      <c r="O501" s="124"/>
      <c r="P501" s="124"/>
      <c r="Q501" s="124"/>
      <c r="R501" s="124"/>
      <c r="S501" s="124"/>
      <c r="T501" s="124"/>
      <c r="U501" s="124"/>
      <c r="V501" s="124"/>
      <c r="W501" s="124"/>
      <c r="X501" s="124"/>
      <c r="Y501" s="124"/>
      <c r="Z501" s="124"/>
      <c r="AA501" s="124"/>
      <c r="AB501" s="124"/>
      <c r="AC501" s="124"/>
      <c r="AD501" s="124"/>
      <c r="AE501" s="124"/>
      <c r="AF501" s="124"/>
      <c r="AG501" s="124"/>
      <c r="AH501" s="124"/>
      <c r="AI501" s="124"/>
      <c r="AJ501" s="124"/>
      <c r="AK501" s="124"/>
      <c r="AL501" s="124"/>
      <c r="AM501" s="124"/>
      <c r="AN501" s="124"/>
      <c r="AO501" s="124"/>
      <c r="AP501" s="124"/>
      <c r="AQ501" s="124"/>
      <c r="AR501" s="124"/>
      <c r="AS501" s="124"/>
      <c r="AT501" s="124"/>
      <c r="AU501" s="124"/>
      <c r="AV501" s="124"/>
      <c r="AW501" s="124"/>
      <c r="AX501" s="124"/>
      <c r="AY501" s="124"/>
      <c r="AZ501" s="124"/>
      <c r="BA501" s="124"/>
      <c r="BB501" s="124"/>
      <c r="BC501" s="124"/>
      <c r="BD501" s="124"/>
      <c r="BE501" s="124"/>
      <c r="BF501" s="124"/>
      <c r="BG501" s="124"/>
      <c r="BH501" s="124"/>
      <c r="BI501" s="124"/>
      <c r="BJ501" s="124"/>
      <c r="BK501" s="124"/>
      <c r="BL501" s="124"/>
      <c r="BM501" s="124"/>
      <c r="BN501" s="124"/>
      <c r="BO501" s="124"/>
      <c r="BP501" s="124"/>
    </row>
    <row r="502" spans="1:68" hidden="1" x14ac:dyDescent="0.25">
      <c r="A502" s="104">
        <v>1</v>
      </c>
      <c r="B502" s="575">
        <v>3241001</v>
      </c>
      <c r="C502" s="489" t="s">
        <v>363</v>
      </c>
      <c r="D502" s="26" t="s">
        <v>87</v>
      </c>
      <c r="E502" s="190"/>
      <c r="F502" s="29">
        <f>F501+F497</f>
        <v>997</v>
      </c>
      <c r="G502" s="143">
        <f>I502/F502</f>
        <v>7.7973921765295886</v>
      </c>
      <c r="H502" s="29">
        <f>H497+H501</f>
        <v>30</v>
      </c>
      <c r="I502" s="29">
        <f>I497+I501</f>
        <v>7774</v>
      </c>
    </row>
    <row r="503" spans="1:68" s="124" customFormat="1" ht="15.75" hidden="1" thickBot="1" x14ac:dyDescent="0.3">
      <c r="A503" s="104">
        <v>1</v>
      </c>
      <c r="B503" s="575">
        <v>3241001</v>
      </c>
      <c r="C503" s="489" t="s">
        <v>363</v>
      </c>
      <c r="D503" s="644" t="s">
        <v>220</v>
      </c>
      <c r="E503" s="595"/>
      <c r="F503" s="645"/>
      <c r="G503" s="645"/>
      <c r="H503" s="645"/>
      <c r="I503" s="645"/>
    </row>
    <row r="504" spans="1:68" s="124" customFormat="1" ht="47.25" hidden="1" x14ac:dyDescent="0.25">
      <c r="A504" s="104">
        <v>1</v>
      </c>
      <c r="B504" s="109" t="s">
        <v>274</v>
      </c>
      <c r="C504" s="489" t="s">
        <v>363</v>
      </c>
      <c r="D504" s="678" t="s">
        <v>411</v>
      </c>
      <c r="E504" s="281"/>
      <c r="F504" s="2"/>
      <c r="G504" s="2"/>
      <c r="H504" s="2"/>
      <c r="I504" s="2"/>
    </row>
    <row r="505" spans="1:68" s="124" customFormat="1" hidden="1" x14ac:dyDescent="0.25">
      <c r="A505" s="104">
        <v>1</v>
      </c>
      <c r="B505" s="109" t="s">
        <v>274</v>
      </c>
      <c r="C505" s="489" t="s">
        <v>363</v>
      </c>
      <c r="D505" s="12" t="s">
        <v>108</v>
      </c>
      <c r="E505" s="13"/>
      <c r="F505" s="2"/>
      <c r="G505" s="2"/>
      <c r="H505" s="2"/>
      <c r="I505" s="2"/>
    </row>
    <row r="506" spans="1:68" s="124" customFormat="1" hidden="1" x14ac:dyDescent="0.25">
      <c r="A506" s="104"/>
      <c r="B506" s="109" t="s">
        <v>274</v>
      </c>
      <c r="C506" s="489" t="s">
        <v>363</v>
      </c>
      <c r="D506" s="14" t="s">
        <v>296</v>
      </c>
      <c r="E506" s="13"/>
      <c r="F506" s="29">
        <f>F507+F508+F513+F514</f>
        <v>140875</v>
      </c>
      <c r="G506" s="2"/>
      <c r="H506" s="2"/>
      <c r="I506" s="2"/>
      <c r="J506" s="58"/>
    </row>
    <row r="507" spans="1:68" s="124" customFormat="1" hidden="1" x14ac:dyDescent="0.25">
      <c r="A507" s="104"/>
      <c r="B507" s="109" t="s">
        <v>274</v>
      </c>
      <c r="C507" s="489" t="s">
        <v>363</v>
      </c>
      <c r="D507" s="15" t="s">
        <v>297</v>
      </c>
      <c r="E507" s="13"/>
      <c r="F507" s="2">
        <v>11000</v>
      </c>
      <c r="G507" s="2"/>
      <c r="H507" s="2"/>
      <c r="I507" s="2"/>
      <c r="J507" s="58"/>
    </row>
    <row r="508" spans="1:68" s="124" customFormat="1" ht="30" hidden="1" x14ac:dyDescent="0.25">
      <c r="A508" s="104"/>
      <c r="B508" s="109" t="s">
        <v>274</v>
      </c>
      <c r="C508" s="489" t="s">
        <v>363</v>
      </c>
      <c r="D508" s="16" t="s">
        <v>298</v>
      </c>
      <c r="E508" s="13"/>
      <c r="F508" s="2">
        <f>F509+F512+F511+F510/4</f>
        <v>122075</v>
      </c>
      <c r="G508" s="2"/>
      <c r="H508" s="2"/>
      <c r="I508" s="2"/>
      <c r="J508" s="58"/>
    </row>
    <row r="509" spans="1:68" s="124" customFormat="1" hidden="1" x14ac:dyDescent="0.25">
      <c r="A509" s="104"/>
      <c r="B509" s="109" t="s">
        <v>274</v>
      </c>
      <c r="C509" s="489" t="s">
        <v>363</v>
      </c>
      <c r="D509" s="15" t="s">
        <v>299</v>
      </c>
      <c r="E509" s="13"/>
      <c r="F509" s="17">
        <v>56000</v>
      </c>
      <c r="G509" s="10"/>
      <c r="H509" s="10"/>
      <c r="I509" s="10"/>
      <c r="J509" s="58"/>
    </row>
    <row r="510" spans="1:68" s="124" customFormat="1" ht="30" hidden="1" x14ac:dyDescent="0.25">
      <c r="A510" s="104"/>
      <c r="B510" s="109" t="s">
        <v>274</v>
      </c>
      <c r="C510" s="489" t="s">
        <v>363</v>
      </c>
      <c r="D510" s="15" t="s">
        <v>300</v>
      </c>
      <c r="E510" s="13"/>
      <c r="F510" s="2">
        <v>300</v>
      </c>
      <c r="G510" s="2"/>
      <c r="H510" s="2"/>
      <c r="I510" s="2"/>
      <c r="J510" s="58"/>
    </row>
    <row r="511" spans="1:68" s="124" customFormat="1" ht="45" hidden="1" x14ac:dyDescent="0.25">
      <c r="A511" s="104"/>
      <c r="B511" s="109" t="s">
        <v>274</v>
      </c>
      <c r="C511" s="489" t="s">
        <v>363</v>
      </c>
      <c r="D511" s="15" t="s">
        <v>301</v>
      </c>
      <c r="E511" s="13"/>
      <c r="F511" s="2">
        <v>47000</v>
      </c>
      <c r="G511" s="2"/>
      <c r="H511" s="2"/>
      <c r="I511" s="2"/>
      <c r="J511" s="58"/>
    </row>
    <row r="512" spans="1:68" s="124" customFormat="1" ht="60" hidden="1" x14ac:dyDescent="0.25">
      <c r="A512" s="104"/>
      <c r="B512" s="109" t="s">
        <v>274</v>
      </c>
      <c r="C512" s="489" t="s">
        <v>363</v>
      </c>
      <c r="D512" s="15" t="s">
        <v>319</v>
      </c>
      <c r="E512" s="13"/>
      <c r="F512" s="2">
        <v>19000</v>
      </c>
      <c r="G512" s="2"/>
      <c r="H512" s="2"/>
      <c r="I512" s="2"/>
      <c r="J512" s="58"/>
    </row>
    <row r="513" spans="1:10" s="124" customFormat="1" ht="45" hidden="1" x14ac:dyDescent="0.25">
      <c r="A513" s="104"/>
      <c r="B513" s="109" t="s">
        <v>274</v>
      </c>
      <c r="C513" s="489" t="s">
        <v>363</v>
      </c>
      <c r="D513" s="15" t="s">
        <v>309</v>
      </c>
      <c r="E513" s="13"/>
      <c r="F513" s="2"/>
      <c r="G513" s="2"/>
      <c r="H513" s="2"/>
      <c r="I513" s="2"/>
      <c r="J513" s="58"/>
    </row>
    <row r="514" spans="1:10" s="124" customFormat="1" ht="45" hidden="1" x14ac:dyDescent="0.25">
      <c r="A514" s="104"/>
      <c r="B514" s="109" t="s">
        <v>274</v>
      </c>
      <c r="C514" s="489" t="s">
        <v>363</v>
      </c>
      <c r="D514" s="18" t="s">
        <v>310</v>
      </c>
      <c r="E514" s="13"/>
      <c r="F514" s="2">
        <v>7800</v>
      </c>
      <c r="G514" s="2"/>
      <c r="H514" s="2"/>
      <c r="I514" s="2"/>
      <c r="J514" s="58"/>
    </row>
    <row r="515" spans="1:10" s="124" customFormat="1" hidden="1" x14ac:dyDescent="0.25">
      <c r="A515" s="104"/>
      <c r="B515" s="109" t="s">
        <v>274</v>
      </c>
      <c r="C515" s="489" t="s">
        <v>363</v>
      </c>
      <c r="D515" s="14" t="s">
        <v>303</v>
      </c>
      <c r="E515" s="13"/>
      <c r="F515" s="29">
        <f>F516+F517</f>
        <v>12989.361702127659</v>
      </c>
      <c r="G515" s="2"/>
      <c r="H515" s="2"/>
      <c r="I515" s="2"/>
      <c r="J515" s="58"/>
    </row>
    <row r="516" spans="1:10" s="124" customFormat="1" hidden="1" x14ac:dyDescent="0.25">
      <c r="A516" s="104"/>
      <c r="B516" s="109" t="s">
        <v>274</v>
      </c>
      <c r="C516" s="489" t="s">
        <v>363</v>
      </c>
      <c r="D516" s="14" t="s">
        <v>304</v>
      </c>
      <c r="E516" s="13"/>
      <c r="F516" s="2">
        <v>12000</v>
      </c>
      <c r="G516" s="2"/>
      <c r="H516" s="2"/>
      <c r="I516" s="2"/>
      <c r="J516" s="58"/>
    </row>
    <row r="517" spans="1:10" s="124" customFormat="1" hidden="1" x14ac:dyDescent="0.25">
      <c r="A517" s="104"/>
      <c r="B517" s="109" t="s">
        <v>274</v>
      </c>
      <c r="C517" s="489" t="s">
        <v>363</v>
      </c>
      <c r="D517" s="15" t="s">
        <v>305</v>
      </c>
      <c r="E517" s="13"/>
      <c r="F517" s="2">
        <f>F518/9.4</f>
        <v>989.36170212765956</v>
      </c>
      <c r="G517" s="2"/>
      <c r="H517" s="2"/>
      <c r="I517" s="2"/>
      <c r="J517" s="58"/>
    </row>
    <row r="518" spans="1:10" s="124" customFormat="1" hidden="1" x14ac:dyDescent="0.25">
      <c r="A518" s="104"/>
      <c r="B518" s="109" t="s">
        <v>274</v>
      </c>
      <c r="C518" s="489" t="s">
        <v>363</v>
      </c>
      <c r="D518" s="42" t="s">
        <v>314</v>
      </c>
      <c r="E518" s="13"/>
      <c r="F518" s="2">
        <v>9300</v>
      </c>
      <c r="G518" s="2"/>
      <c r="H518" s="2"/>
      <c r="I518" s="2"/>
      <c r="J518" s="58"/>
    </row>
    <row r="519" spans="1:10" s="124" customFormat="1" ht="29.25" hidden="1" x14ac:dyDescent="0.25">
      <c r="A519" s="104"/>
      <c r="B519" s="109" t="s">
        <v>274</v>
      </c>
      <c r="C519" s="489" t="s">
        <v>363</v>
      </c>
      <c r="D519" s="14" t="s">
        <v>306</v>
      </c>
      <c r="E519" s="13"/>
      <c r="F519" s="2"/>
      <c r="G519" s="2"/>
      <c r="H519" s="2"/>
      <c r="I519" s="2"/>
      <c r="J519" s="58"/>
    </row>
    <row r="520" spans="1:10" s="124" customFormat="1" hidden="1" x14ac:dyDescent="0.25">
      <c r="A520" s="104"/>
      <c r="B520" s="109" t="s">
        <v>274</v>
      </c>
      <c r="C520" s="489" t="s">
        <v>363</v>
      </c>
      <c r="D520" s="19" t="s">
        <v>115</v>
      </c>
      <c r="E520" s="13"/>
      <c r="F520" s="2"/>
      <c r="G520" s="2"/>
      <c r="H520" s="2"/>
      <c r="I520" s="2"/>
      <c r="J520" s="58"/>
    </row>
    <row r="521" spans="1:10" s="124" customFormat="1" ht="57.75" hidden="1" x14ac:dyDescent="0.25">
      <c r="A521" s="104"/>
      <c r="B521" s="109" t="s">
        <v>274</v>
      </c>
      <c r="C521" s="489" t="s">
        <v>363</v>
      </c>
      <c r="D521" s="14" t="s">
        <v>307</v>
      </c>
      <c r="E521" s="13"/>
      <c r="F521" s="2"/>
      <c r="G521" s="2"/>
      <c r="H521" s="2"/>
      <c r="I521" s="2"/>
      <c r="J521" s="58"/>
    </row>
    <row r="522" spans="1:10" s="124" customFormat="1" hidden="1" x14ac:dyDescent="0.25">
      <c r="A522" s="104">
        <v>1</v>
      </c>
      <c r="B522" s="109" t="s">
        <v>274</v>
      </c>
      <c r="C522" s="489" t="s">
        <v>363</v>
      </c>
      <c r="D522" s="20" t="s">
        <v>158</v>
      </c>
      <c r="E522" s="17"/>
      <c r="F522" s="646">
        <f>SUM(F523:F562)</f>
        <v>460457</v>
      </c>
      <c r="G522" s="17"/>
      <c r="H522" s="17"/>
      <c r="I522" s="17"/>
      <c r="J522" s="58"/>
    </row>
    <row r="523" spans="1:10" s="124" customFormat="1" ht="30" hidden="1" x14ac:dyDescent="0.25">
      <c r="A523" s="104"/>
      <c r="B523" s="109" t="s">
        <v>274</v>
      </c>
      <c r="C523" s="489" t="s">
        <v>363</v>
      </c>
      <c r="D523" s="35" t="s">
        <v>123</v>
      </c>
      <c r="E523" s="17"/>
      <c r="F523" s="2">
        <v>190000</v>
      </c>
      <c r="G523" s="17"/>
      <c r="H523" s="17"/>
      <c r="I523" s="17"/>
      <c r="J523" s="58"/>
    </row>
    <row r="524" spans="1:10" s="124" customFormat="1" ht="30" hidden="1" x14ac:dyDescent="0.25">
      <c r="A524" s="104"/>
      <c r="B524" s="109" t="s">
        <v>274</v>
      </c>
      <c r="C524" s="489" t="s">
        <v>363</v>
      </c>
      <c r="D524" s="35" t="s">
        <v>124</v>
      </c>
      <c r="E524" s="17"/>
      <c r="F524" s="2">
        <v>20800</v>
      </c>
      <c r="G524" s="17"/>
      <c r="H524" s="17"/>
      <c r="I524" s="17"/>
      <c r="J524" s="58"/>
    </row>
    <row r="525" spans="1:10" s="124" customFormat="1" ht="30" hidden="1" x14ac:dyDescent="0.25">
      <c r="A525" s="104"/>
      <c r="B525" s="109"/>
      <c r="C525" s="489" t="s">
        <v>363</v>
      </c>
      <c r="D525" s="35" t="s">
        <v>348</v>
      </c>
      <c r="E525" s="17"/>
      <c r="F525" s="2">
        <v>800</v>
      </c>
      <c r="G525" s="17"/>
      <c r="H525" s="17"/>
      <c r="I525" s="17"/>
      <c r="J525" s="58"/>
    </row>
    <row r="526" spans="1:10" s="124" customFormat="1" hidden="1" x14ac:dyDescent="0.25">
      <c r="A526" s="104">
        <v>1</v>
      </c>
      <c r="B526" s="109" t="s">
        <v>274</v>
      </c>
      <c r="C526" s="489" t="s">
        <v>363</v>
      </c>
      <c r="D526" s="35" t="s">
        <v>133</v>
      </c>
      <c r="E526" s="17"/>
      <c r="F526" s="2">
        <v>800</v>
      </c>
      <c r="G526" s="17"/>
      <c r="H526" s="17"/>
      <c r="I526" s="17"/>
      <c r="J526" s="58"/>
    </row>
    <row r="527" spans="1:10" s="124" customFormat="1" hidden="1" x14ac:dyDescent="0.25">
      <c r="A527" s="104">
        <v>1</v>
      </c>
      <c r="B527" s="109" t="s">
        <v>274</v>
      </c>
      <c r="C527" s="489" t="s">
        <v>363</v>
      </c>
      <c r="D527" s="35" t="s">
        <v>221</v>
      </c>
      <c r="E527" s="17"/>
      <c r="F527" s="2">
        <v>1100</v>
      </c>
      <c r="G527" s="17"/>
      <c r="H527" s="17"/>
      <c r="I527" s="17"/>
      <c r="J527" s="58"/>
    </row>
    <row r="528" spans="1:10" s="124" customFormat="1" ht="30" hidden="1" x14ac:dyDescent="0.25">
      <c r="A528" s="104">
        <v>1</v>
      </c>
      <c r="B528" s="109" t="s">
        <v>274</v>
      </c>
      <c r="C528" s="489" t="s">
        <v>363</v>
      </c>
      <c r="D528" s="35" t="s">
        <v>134</v>
      </c>
      <c r="E528" s="17"/>
      <c r="F528" s="2">
        <v>8000</v>
      </c>
      <c r="G528" s="17"/>
      <c r="H528" s="17"/>
      <c r="I528" s="17"/>
      <c r="J528" s="58"/>
    </row>
    <row r="529" spans="1:10" s="124" customFormat="1" hidden="1" x14ac:dyDescent="0.25">
      <c r="A529" s="104">
        <v>1</v>
      </c>
      <c r="B529" s="109" t="s">
        <v>274</v>
      </c>
      <c r="C529" s="489" t="s">
        <v>363</v>
      </c>
      <c r="D529" s="35" t="s">
        <v>53</v>
      </c>
      <c r="E529" s="17"/>
      <c r="F529" s="2">
        <v>55000</v>
      </c>
      <c r="G529" s="17"/>
      <c r="H529" s="17"/>
      <c r="I529" s="17"/>
      <c r="J529" s="58"/>
    </row>
    <row r="530" spans="1:10" s="124" customFormat="1" ht="60" hidden="1" x14ac:dyDescent="0.25">
      <c r="A530" s="104">
        <v>1</v>
      </c>
      <c r="B530" s="109" t="s">
        <v>274</v>
      </c>
      <c r="C530" s="489" t="s">
        <v>363</v>
      </c>
      <c r="D530" s="35" t="s">
        <v>156</v>
      </c>
      <c r="E530" s="17"/>
      <c r="F530" s="2">
        <v>210</v>
      </c>
      <c r="G530" s="17"/>
      <c r="H530" s="17"/>
      <c r="I530" s="17"/>
      <c r="J530" s="58"/>
    </row>
    <row r="531" spans="1:10" s="124" customFormat="1" ht="60" hidden="1" x14ac:dyDescent="0.25">
      <c r="A531" s="104">
        <v>1</v>
      </c>
      <c r="B531" s="109" t="s">
        <v>274</v>
      </c>
      <c r="C531" s="489" t="s">
        <v>363</v>
      </c>
      <c r="D531" s="35" t="s">
        <v>155</v>
      </c>
      <c r="E531" s="17"/>
      <c r="F531" s="2">
        <v>80</v>
      </c>
      <c r="G531" s="17"/>
      <c r="H531" s="17"/>
      <c r="I531" s="17"/>
      <c r="J531" s="58"/>
    </row>
    <row r="532" spans="1:10" s="124" customFormat="1" hidden="1" x14ac:dyDescent="0.25">
      <c r="A532" s="104">
        <v>1</v>
      </c>
      <c r="B532" s="109" t="s">
        <v>274</v>
      </c>
      <c r="C532" s="489" t="s">
        <v>363</v>
      </c>
      <c r="D532" s="35" t="s">
        <v>62</v>
      </c>
      <c r="E532" s="17"/>
      <c r="F532" s="2">
        <v>40</v>
      </c>
      <c r="G532" s="17"/>
      <c r="H532" s="17"/>
      <c r="I532" s="17"/>
      <c r="J532" s="58"/>
    </row>
    <row r="533" spans="1:10" s="124" customFormat="1" hidden="1" x14ac:dyDescent="0.25">
      <c r="A533" s="104">
        <v>1</v>
      </c>
      <c r="B533" s="109" t="s">
        <v>274</v>
      </c>
      <c r="C533" s="489" t="s">
        <v>363</v>
      </c>
      <c r="D533" s="35" t="s">
        <v>17</v>
      </c>
      <c r="E533" s="17"/>
      <c r="F533" s="2">
        <v>5000</v>
      </c>
      <c r="G533" s="17"/>
      <c r="H533" s="17"/>
      <c r="I533" s="17"/>
      <c r="J533" s="58"/>
    </row>
    <row r="534" spans="1:10" s="124" customFormat="1" ht="30" hidden="1" x14ac:dyDescent="0.25">
      <c r="A534" s="104">
        <v>1</v>
      </c>
      <c r="B534" s="109" t="s">
        <v>274</v>
      </c>
      <c r="C534" s="489" t="s">
        <v>363</v>
      </c>
      <c r="D534" s="35" t="s">
        <v>139</v>
      </c>
      <c r="E534" s="17"/>
      <c r="F534" s="2">
        <v>650</v>
      </c>
      <c r="G534" s="17"/>
      <c r="H534" s="17"/>
      <c r="I534" s="17"/>
      <c r="J534" s="58"/>
    </row>
    <row r="535" spans="1:10" s="124" customFormat="1" hidden="1" x14ac:dyDescent="0.25">
      <c r="A535" s="104">
        <v>1</v>
      </c>
      <c r="B535" s="109" t="s">
        <v>274</v>
      </c>
      <c r="C535" s="489" t="s">
        <v>363</v>
      </c>
      <c r="D535" s="35" t="s">
        <v>147</v>
      </c>
      <c r="E535" s="17"/>
      <c r="F535" s="2">
        <v>69000</v>
      </c>
      <c r="G535" s="17"/>
      <c r="H535" s="17"/>
      <c r="I535" s="17"/>
      <c r="J535" s="58"/>
    </row>
    <row r="536" spans="1:10" s="124" customFormat="1" hidden="1" x14ac:dyDescent="0.25">
      <c r="A536" s="104">
        <v>1</v>
      </c>
      <c r="B536" s="109" t="s">
        <v>274</v>
      </c>
      <c r="C536" s="489" t="s">
        <v>363</v>
      </c>
      <c r="D536" s="35" t="s">
        <v>141</v>
      </c>
      <c r="E536" s="17"/>
      <c r="F536" s="2">
        <v>50</v>
      </c>
      <c r="G536" s="17"/>
      <c r="H536" s="17"/>
      <c r="I536" s="17"/>
      <c r="J536" s="58"/>
    </row>
    <row r="537" spans="1:10" s="124" customFormat="1" ht="60" hidden="1" x14ac:dyDescent="0.25">
      <c r="A537" s="104">
        <v>1</v>
      </c>
      <c r="B537" s="109" t="s">
        <v>274</v>
      </c>
      <c r="C537" s="489" t="s">
        <v>363</v>
      </c>
      <c r="D537" s="35" t="s">
        <v>211</v>
      </c>
      <c r="E537" s="17"/>
      <c r="F537" s="2">
        <v>17</v>
      </c>
      <c r="G537" s="17"/>
      <c r="H537" s="17"/>
      <c r="I537" s="17"/>
      <c r="J537" s="58"/>
    </row>
    <row r="538" spans="1:10" s="124" customFormat="1" ht="75" hidden="1" x14ac:dyDescent="0.25">
      <c r="A538" s="104">
        <v>1</v>
      </c>
      <c r="B538" s="109" t="s">
        <v>274</v>
      </c>
      <c r="C538" s="489" t="s">
        <v>363</v>
      </c>
      <c r="D538" s="35" t="s">
        <v>212</v>
      </c>
      <c r="E538" s="17"/>
      <c r="F538" s="2">
        <v>5</v>
      </c>
      <c r="G538" s="17"/>
      <c r="H538" s="17"/>
      <c r="I538" s="17"/>
      <c r="J538" s="58"/>
    </row>
    <row r="539" spans="1:10" s="124" customFormat="1" ht="30" hidden="1" x14ac:dyDescent="0.25">
      <c r="A539" s="104">
        <v>1</v>
      </c>
      <c r="B539" s="109" t="s">
        <v>274</v>
      </c>
      <c r="C539" s="489" t="s">
        <v>363</v>
      </c>
      <c r="D539" s="35" t="s">
        <v>135</v>
      </c>
      <c r="E539" s="17"/>
      <c r="F539" s="2">
        <v>500</v>
      </c>
      <c r="G539" s="17"/>
      <c r="H539" s="17"/>
      <c r="I539" s="17"/>
      <c r="J539" s="58"/>
    </row>
    <row r="540" spans="1:10" s="124" customFormat="1" ht="45" hidden="1" x14ac:dyDescent="0.25">
      <c r="A540" s="104"/>
      <c r="B540" s="109"/>
      <c r="C540" s="489"/>
      <c r="D540" s="35" t="s">
        <v>282</v>
      </c>
      <c r="E540" s="17"/>
      <c r="F540" s="2">
        <v>5000</v>
      </c>
      <c r="G540" s="17"/>
      <c r="H540" s="17"/>
      <c r="I540" s="17"/>
      <c r="J540" s="58"/>
    </row>
    <row r="541" spans="1:10" s="124" customFormat="1" ht="60" hidden="1" x14ac:dyDescent="0.25">
      <c r="A541" s="104">
        <v>1</v>
      </c>
      <c r="B541" s="109" t="s">
        <v>274</v>
      </c>
      <c r="C541" s="489" t="s">
        <v>363</v>
      </c>
      <c r="D541" s="35" t="s">
        <v>290</v>
      </c>
      <c r="E541" s="35"/>
      <c r="F541" s="2">
        <v>4100</v>
      </c>
      <c r="G541" s="17"/>
      <c r="H541" s="17"/>
      <c r="I541" s="17"/>
      <c r="J541" s="58"/>
    </row>
    <row r="542" spans="1:10" s="124" customFormat="1" hidden="1" x14ac:dyDescent="0.25">
      <c r="A542" s="104">
        <v>1</v>
      </c>
      <c r="B542" s="109" t="s">
        <v>274</v>
      </c>
      <c r="C542" s="489" t="s">
        <v>363</v>
      </c>
      <c r="D542" s="35" t="s">
        <v>122</v>
      </c>
      <c r="E542" s="17"/>
      <c r="F542" s="2">
        <v>300</v>
      </c>
      <c r="G542" s="17"/>
      <c r="H542" s="17"/>
      <c r="I542" s="17"/>
      <c r="J542" s="58"/>
    </row>
    <row r="543" spans="1:10" s="124" customFormat="1" hidden="1" x14ac:dyDescent="0.25">
      <c r="A543" s="104">
        <v>1</v>
      </c>
      <c r="B543" s="109" t="s">
        <v>274</v>
      </c>
      <c r="C543" s="489" t="s">
        <v>363</v>
      </c>
      <c r="D543" s="35" t="s">
        <v>142</v>
      </c>
      <c r="E543" s="17"/>
      <c r="F543" s="2">
        <v>150</v>
      </c>
      <c r="G543" s="17"/>
      <c r="H543" s="17"/>
      <c r="I543" s="17"/>
      <c r="J543" s="58"/>
    </row>
    <row r="544" spans="1:10" s="124" customFormat="1" hidden="1" x14ac:dyDescent="0.25">
      <c r="A544" s="104">
        <v>1</v>
      </c>
      <c r="B544" s="109" t="s">
        <v>274</v>
      </c>
      <c r="C544" s="489" t="s">
        <v>363</v>
      </c>
      <c r="D544" s="35" t="s">
        <v>98</v>
      </c>
      <c r="E544" s="17"/>
      <c r="F544" s="2">
        <v>1500</v>
      </c>
      <c r="G544" s="17"/>
      <c r="H544" s="17"/>
      <c r="I544" s="17"/>
      <c r="J544" s="58"/>
    </row>
    <row r="545" spans="1:10" s="124" customFormat="1" hidden="1" x14ac:dyDescent="0.25">
      <c r="A545" s="104">
        <v>1</v>
      </c>
      <c r="B545" s="109" t="s">
        <v>274</v>
      </c>
      <c r="C545" s="489" t="s">
        <v>363</v>
      </c>
      <c r="D545" s="35" t="s">
        <v>50</v>
      </c>
      <c r="E545" s="17"/>
      <c r="F545" s="2">
        <v>4000</v>
      </c>
      <c r="G545" s="17"/>
      <c r="H545" s="17"/>
      <c r="I545" s="17"/>
      <c r="J545" s="58"/>
    </row>
    <row r="546" spans="1:10" s="124" customFormat="1" hidden="1" x14ac:dyDescent="0.25">
      <c r="A546" s="104">
        <v>1</v>
      </c>
      <c r="B546" s="109" t="s">
        <v>274</v>
      </c>
      <c r="C546" s="489" t="s">
        <v>363</v>
      </c>
      <c r="D546" s="35" t="s">
        <v>136</v>
      </c>
      <c r="E546" s="17"/>
      <c r="F546" s="2">
        <v>300</v>
      </c>
      <c r="G546" s="17"/>
      <c r="H546" s="17"/>
      <c r="I546" s="17"/>
      <c r="J546" s="58"/>
    </row>
    <row r="547" spans="1:10" s="124" customFormat="1" hidden="1" x14ac:dyDescent="0.25">
      <c r="A547" s="104">
        <v>1</v>
      </c>
      <c r="B547" s="109" t="s">
        <v>274</v>
      </c>
      <c r="C547" s="489" t="s">
        <v>363</v>
      </c>
      <c r="D547" s="35" t="s">
        <v>54</v>
      </c>
      <c r="E547" s="17"/>
      <c r="F547" s="2">
        <v>2600</v>
      </c>
      <c r="G547" s="17"/>
      <c r="H547" s="17"/>
      <c r="I547" s="17"/>
      <c r="J547" s="58"/>
    </row>
    <row r="548" spans="1:10" s="124" customFormat="1" hidden="1" x14ac:dyDescent="0.25">
      <c r="A548" s="104">
        <v>1</v>
      </c>
      <c r="B548" s="109" t="s">
        <v>274</v>
      </c>
      <c r="C548" s="489" t="s">
        <v>363</v>
      </c>
      <c r="D548" s="35" t="s">
        <v>52</v>
      </c>
      <c r="E548" s="17"/>
      <c r="F548" s="2">
        <v>3050</v>
      </c>
      <c r="G548" s="17"/>
      <c r="H548" s="17"/>
      <c r="I548" s="17"/>
      <c r="J548" s="58"/>
    </row>
    <row r="549" spans="1:10" s="124" customFormat="1" ht="30" hidden="1" x14ac:dyDescent="0.25">
      <c r="A549" s="104">
        <v>1</v>
      </c>
      <c r="B549" s="109" t="s">
        <v>274</v>
      </c>
      <c r="C549" s="489" t="s">
        <v>363</v>
      </c>
      <c r="D549" s="35" t="s">
        <v>99</v>
      </c>
      <c r="E549" s="17"/>
      <c r="F549" s="2">
        <v>1200</v>
      </c>
      <c r="G549" s="17"/>
      <c r="H549" s="17"/>
      <c r="I549" s="17"/>
      <c r="J549" s="58"/>
    </row>
    <row r="550" spans="1:10" s="124" customFormat="1" hidden="1" x14ac:dyDescent="0.25">
      <c r="A550" s="104">
        <v>1</v>
      </c>
      <c r="B550" s="109" t="s">
        <v>274</v>
      </c>
      <c r="C550" s="489" t="s">
        <v>363</v>
      </c>
      <c r="D550" s="35" t="s">
        <v>182</v>
      </c>
      <c r="E550" s="17"/>
      <c r="F550" s="2">
        <v>22200</v>
      </c>
      <c r="G550" s="17"/>
      <c r="H550" s="17"/>
      <c r="I550" s="17"/>
      <c r="J550" s="58"/>
    </row>
    <row r="551" spans="1:10" s="124" customFormat="1" ht="30" hidden="1" x14ac:dyDescent="0.25">
      <c r="A551" s="104">
        <v>1</v>
      </c>
      <c r="B551" s="109" t="s">
        <v>274</v>
      </c>
      <c r="C551" s="489" t="s">
        <v>363</v>
      </c>
      <c r="D551" s="35" t="s">
        <v>203</v>
      </c>
      <c r="E551" s="17"/>
      <c r="F551" s="2">
        <v>8200</v>
      </c>
      <c r="G551" s="17"/>
      <c r="H551" s="17"/>
      <c r="I551" s="17"/>
      <c r="J551" s="58"/>
    </row>
    <row r="552" spans="1:10" s="124" customFormat="1" ht="30" hidden="1" x14ac:dyDescent="0.25">
      <c r="A552" s="104">
        <v>1</v>
      </c>
      <c r="B552" s="109" t="s">
        <v>274</v>
      </c>
      <c r="C552" s="489" t="s">
        <v>363</v>
      </c>
      <c r="D552" s="35" t="s">
        <v>202</v>
      </c>
      <c r="E552" s="17"/>
      <c r="F552" s="2">
        <v>2800</v>
      </c>
      <c r="G552" s="17"/>
      <c r="H552" s="17"/>
      <c r="I552" s="17"/>
      <c r="J552" s="58"/>
    </row>
    <row r="553" spans="1:10" s="124" customFormat="1" hidden="1" x14ac:dyDescent="0.25">
      <c r="A553" s="104">
        <v>1</v>
      </c>
      <c r="B553" s="109" t="s">
        <v>274</v>
      </c>
      <c r="C553" s="489" t="s">
        <v>363</v>
      </c>
      <c r="D553" s="35" t="s">
        <v>137</v>
      </c>
      <c r="E553" s="17"/>
      <c r="F553" s="2">
        <v>55</v>
      </c>
      <c r="G553" s="17"/>
      <c r="H553" s="17"/>
      <c r="I553" s="17"/>
      <c r="J553" s="58"/>
    </row>
    <row r="554" spans="1:10" s="124" customFormat="1" hidden="1" x14ac:dyDescent="0.25">
      <c r="A554" s="104">
        <v>1</v>
      </c>
      <c r="B554" s="109" t="s">
        <v>274</v>
      </c>
      <c r="C554" s="489" t="s">
        <v>363</v>
      </c>
      <c r="D554" s="35" t="s">
        <v>31</v>
      </c>
      <c r="E554" s="17"/>
      <c r="F554" s="2">
        <v>15000</v>
      </c>
      <c r="G554" s="17"/>
      <c r="H554" s="17"/>
      <c r="I554" s="17"/>
      <c r="J554" s="58"/>
    </row>
    <row r="555" spans="1:10" s="124" customFormat="1" hidden="1" x14ac:dyDescent="0.25">
      <c r="A555" s="104">
        <v>1</v>
      </c>
      <c r="B555" s="109" t="s">
        <v>274</v>
      </c>
      <c r="C555" s="489" t="s">
        <v>363</v>
      </c>
      <c r="D555" s="35" t="s">
        <v>15</v>
      </c>
      <c r="E555" s="17"/>
      <c r="F555" s="2">
        <v>2700</v>
      </c>
      <c r="G555" s="17"/>
      <c r="H555" s="17"/>
      <c r="I555" s="17"/>
      <c r="J555" s="58"/>
    </row>
    <row r="556" spans="1:10" s="124" customFormat="1" hidden="1" x14ac:dyDescent="0.25">
      <c r="A556" s="104">
        <v>1</v>
      </c>
      <c r="B556" s="109" t="s">
        <v>274</v>
      </c>
      <c r="C556" s="489" t="s">
        <v>363</v>
      </c>
      <c r="D556" s="647" t="s">
        <v>27</v>
      </c>
      <c r="E556" s="17"/>
      <c r="F556" s="2">
        <v>5500</v>
      </c>
      <c r="G556" s="17"/>
      <c r="H556" s="17"/>
      <c r="I556" s="17"/>
      <c r="J556" s="58"/>
    </row>
    <row r="557" spans="1:10" s="124" customFormat="1" hidden="1" x14ac:dyDescent="0.25">
      <c r="A557" s="104">
        <v>1</v>
      </c>
      <c r="B557" s="109" t="s">
        <v>274</v>
      </c>
      <c r="C557" s="489" t="s">
        <v>363</v>
      </c>
      <c r="D557" s="35" t="s">
        <v>143</v>
      </c>
      <c r="E557" s="17"/>
      <c r="F557" s="2">
        <v>100</v>
      </c>
      <c r="G557" s="17"/>
      <c r="H557" s="17"/>
      <c r="I557" s="17"/>
      <c r="J557" s="58"/>
    </row>
    <row r="558" spans="1:10" s="124" customFormat="1" hidden="1" x14ac:dyDescent="0.25">
      <c r="A558" s="104"/>
      <c r="B558" s="109" t="s">
        <v>274</v>
      </c>
      <c r="C558" s="489" t="s">
        <v>363</v>
      </c>
      <c r="D558" s="35" t="s">
        <v>51</v>
      </c>
      <c r="E558" s="17"/>
      <c r="F558" s="2">
        <v>16500</v>
      </c>
      <c r="G558" s="17"/>
      <c r="H558" s="17"/>
      <c r="I558" s="17"/>
      <c r="J558" s="58"/>
    </row>
    <row r="559" spans="1:10" s="124" customFormat="1" hidden="1" x14ac:dyDescent="0.25">
      <c r="A559" s="104"/>
      <c r="B559" s="109" t="s">
        <v>274</v>
      </c>
      <c r="C559" s="489" t="s">
        <v>363</v>
      </c>
      <c r="D559" s="35" t="s">
        <v>138</v>
      </c>
      <c r="E559" s="17"/>
      <c r="F559" s="2">
        <v>700</v>
      </c>
      <c r="G559" s="17"/>
      <c r="H559" s="17"/>
      <c r="I559" s="17"/>
      <c r="J559" s="58"/>
    </row>
    <row r="560" spans="1:10" s="124" customFormat="1" hidden="1" x14ac:dyDescent="0.25">
      <c r="A560" s="104">
        <v>1</v>
      </c>
      <c r="B560" s="109" t="s">
        <v>274</v>
      </c>
      <c r="C560" s="489" t="s">
        <v>363</v>
      </c>
      <c r="D560" s="35" t="s">
        <v>121</v>
      </c>
      <c r="E560" s="17"/>
      <c r="F560" s="2">
        <v>350</v>
      </c>
      <c r="G560" s="17"/>
      <c r="H560" s="17"/>
      <c r="I560" s="17"/>
      <c r="J560" s="58"/>
    </row>
    <row r="561" spans="1:68" s="124" customFormat="1" hidden="1" x14ac:dyDescent="0.25">
      <c r="A561" s="104">
        <v>1</v>
      </c>
      <c r="B561" s="109" t="s">
        <v>274</v>
      </c>
      <c r="C561" s="489" t="s">
        <v>363</v>
      </c>
      <c r="D561" s="35" t="s">
        <v>97</v>
      </c>
      <c r="E561" s="648"/>
      <c r="F561" s="2">
        <v>3600</v>
      </c>
      <c r="G561" s="648"/>
      <c r="H561" s="648"/>
      <c r="I561" s="648"/>
      <c r="J561" s="58"/>
    </row>
    <row r="562" spans="1:68" s="124" customFormat="1" hidden="1" x14ac:dyDescent="0.25">
      <c r="A562" s="104"/>
      <c r="B562" s="109"/>
      <c r="C562" s="489" t="s">
        <v>363</v>
      </c>
      <c r="D562" s="649" t="s">
        <v>118</v>
      </c>
      <c r="E562" s="17"/>
      <c r="F562" s="635">
        <v>8500</v>
      </c>
      <c r="G562" s="17"/>
      <c r="H562" s="17"/>
      <c r="I562" s="650"/>
      <c r="J562" s="58"/>
    </row>
    <row r="563" spans="1:68" s="124" customFormat="1" hidden="1" x14ac:dyDescent="0.25">
      <c r="A563" s="104"/>
      <c r="B563" s="109" t="s">
        <v>274</v>
      </c>
      <c r="C563" s="489" t="s">
        <v>363</v>
      </c>
      <c r="D563" s="21" t="s">
        <v>198</v>
      </c>
      <c r="E563" s="650"/>
      <c r="F563" s="28">
        <f>F506</f>
        <v>140875</v>
      </c>
      <c r="G563" s="17"/>
      <c r="H563" s="650"/>
      <c r="I563" s="17"/>
    </row>
    <row r="564" spans="1:68" s="124" customFormat="1" ht="29.25" hidden="1" x14ac:dyDescent="0.25">
      <c r="A564" s="104"/>
      <c r="B564" s="109" t="s">
        <v>274</v>
      </c>
      <c r="C564" s="489" t="s">
        <v>363</v>
      </c>
      <c r="D564" s="21" t="s">
        <v>199</v>
      </c>
      <c r="E564" s="17"/>
      <c r="F564" s="28"/>
      <c r="G564" s="650"/>
      <c r="H564" s="17"/>
      <c r="I564" s="17"/>
    </row>
    <row r="565" spans="1:68" s="124" customFormat="1" hidden="1" x14ac:dyDescent="0.25">
      <c r="A565" s="104"/>
      <c r="B565" s="109" t="s">
        <v>274</v>
      </c>
      <c r="C565" s="489" t="s">
        <v>363</v>
      </c>
      <c r="D565" s="21" t="s">
        <v>200</v>
      </c>
      <c r="E565" s="648"/>
      <c r="F565" s="37">
        <f>F515</f>
        <v>12989.361702127659</v>
      </c>
      <c r="G565" s="648"/>
      <c r="H565" s="648"/>
      <c r="I565" s="650"/>
    </row>
    <row r="566" spans="1:68" s="124" customFormat="1" ht="29.25" hidden="1" x14ac:dyDescent="0.25">
      <c r="A566" s="104"/>
      <c r="B566" s="109" t="s">
        <v>274</v>
      </c>
      <c r="C566" s="489" t="s">
        <v>363</v>
      </c>
      <c r="D566" s="21" t="s">
        <v>201</v>
      </c>
      <c r="E566" s="17"/>
      <c r="F566" s="28">
        <f>F519</f>
        <v>0</v>
      </c>
      <c r="G566" s="648"/>
      <c r="H566" s="648"/>
      <c r="I566" s="17"/>
    </row>
    <row r="567" spans="1:68" s="124" customFormat="1" hidden="1" x14ac:dyDescent="0.25">
      <c r="A567" s="104"/>
      <c r="B567" s="109" t="s">
        <v>274</v>
      </c>
      <c r="C567" s="489" t="s">
        <v>363</v>
      </c>
      <c r="D567" s="22" t="s">
        <v>109</v>
      </c>
      <c r="E567" s="650"/>
      <c r="F567" s="153">
        <f>F563+F516*2.1+F518/4.2</f>
        <v>168289.28571428571</v>
      </c>
      <c r="G567" s="651"/>
      <c r="H567" s="651"/>
      <c r="I567" s="650"/>
    </row>
    <row r="568" spans="1:68" ht="15.75" hidden="1" thickBot="1" x14ac:dyDescent="0.3">
      <c r="A568" s="104">
        <v>1</v>
      </c>
      <c r="B568" s="109" t="s">
        <v>274</v>
      </c>
      <c r="C568" s="489" t="s">
        <v>363</v>
      </c>
      <c r="D568" s="644" t="s">
        <v>220</v>
      </c>
      <c r="E568" s="645"/>
      <c r="F568" s="645"/>
      <c r="G568" s="645"/>
      <c r="H568" s="645"/>
      <c r="I568" s="645"/>
      <c r="J568" s="124"/>
      <c r="K568" s="124"/>
      <c r="L568" s="124"/>
      <c r="M568" s="124"/>
      <c r="N568" s="124"/>
      <c r="O568" s="124"/>
      <c r="P568" s="124"/>
      <c r="Q568" s="124"/>
      <c r="R568" s="124"/>
      <c r="S568" s="124"/>
      <c r="T568" s="124"/>
      <c r="U568" s="124"/>
      <c r="V568" s="124"/>
      <c r="W568" s="124"/>
      <c r="X568" s="124"/>
      <c r="Y568" s="124"/>
      <c r="Z568" s="124"/>
      <c r="AA568" s="124"/>
      <c r="AB568" s="124"/>
      <c r="AC568" s="124"/>
      <c r="AD568" s="124"/>
      <c r="AE568" s="124"/>
      <c r="AF568" s="124"/>
      <c r="AG568" s="124"/>
      <c r="AH568" s="124"/>
      <c r="AI568" s="124"/>
      <c r="AJ568" s="124"/>
      <c r="AK568" s="124"/>
      <c r="AL568" s="124"/>
      <c r="AM568" s="124"/>
      <c r="AN568" s="124"/>
      <c r="AO568" s="124"/>
      <c r="AP568" s="124"/>
      <c r="AQ568" s="124"/>
      <c r="AR568" s="124"/>
      <c r="AS568" s="124"/>
      <c r="AT568" s="124"/>
      <c r="AU568" s="124"/>
      <c r="AV568" s="124"/>
      <c r="AW568" s="124"/>
      <c r="AX568" s="124"/>
      <c r="AY568" s="124"/>
      <c r="AZ568" s="124"/>
      <c r="BA568" s="124"/>
      <c r="BB568" s="124"/>
      <c r="BC568" s="124"/>
      <c r="BD568" s="124"/>
      <c r="BE568" s="124"/>
      <c r="BF568" s="124"/>
      <c r="BG568" s="124"/>
      <c r="BH568" s="124"/>
      <c r="BI568" s="124"/>
      <c r="BJ568" s="124"/>
      <c r="BK568" s="124"/>
      <c r="BL568" s="124"/>
      <c r="BM568" s="124"/>
      <c r="BN568" s="124"/>
      <c r="BO568" s="124"/>
      <c r="BP568" s="124"/>
    </row>
    <row r="569" spans="1:68" hidden="1" x14ac:dyDescent="0.25">
      <c r="A569" s="104">
        <v>1</v>
      </c>
      <c r="C569" s="489" t="s">
        <v>363</v>
      </c>
      <c r="D569" s="278"/>
      <c r="E569" s="610"/>
      <c r="F569" s="641"/>
      <c r="G569" s="610"/>
      <c r="H569" s="610"/>
      <c r="I569" s="610"/>
      <c r="J569" s="124"/>
      <c r="K569" s="124"/>
      <c r="L569" s="124"/>
      <c r="M569" s="124"/>
      <c r="N569" s="124"/>
      <c r="O569" s="124"/>
      <c r="P569" s="124"/>
      <c r="Q569" s="124"/>
      <c r="R569" s="124"/>
      <c r="S569" s="124"/>
      <c r="T569" s="124"/>
      <c r="U569" s="124"/>
      <c r="V569" s="124"/>
      <c r="W569" s="124"/>
      <c r="X569" s="124"/>
      <c r="Y569" s="124"/>
      <c r="Z569" s="124"/>
      <c r="AA569" s="124"/>
      <c r="AB569" s="124"/>
      <c r="AC569" s="124"/>
      <c r="AD569" s="124"/>
      <c r="AE569" s="124"/>
      <c r="AF569" s="124"/>
      <c r="AG569" s="124"/>
      <c r="AH569" s="124"/>
      <c r="AI569" s="124"/>
      <c r="AJ569" s="124"/>
      <c r="AK569" s="124"/>
      <c r="AL569" s="124"/>
      <c r="AM569" s="124"/>
      <c r="AN569" s="124"/>
      <c r="AO569" s="124"/>
      <c r="AP569" s="124"/>
      <c r="AQ569" s="124"/>
      <c r="AR569" s="124"/>
      <c r="AS569" s="124"/>
      <c r="AT569" s="124"/>
      <c r="AU569" s="124"/>
      <c r="AV569" s="124"/>
      <c r="AW569" s="124"/>
      <c r="AX569" s="124"/>
      <c r="AY569" s="124"/>
      <c r="AZ569" s="124"/>
      <c r="BA569" s="124"/>
      <c r="BB569" s="124"/>
      <c r="BC569" s="124"/>
      <c r="BD569" s="124"/>
      <c r="BE569" s="124"/>
      <c r="BF569" s="124"/>
      <c r="BG569" s="124"/>
      <c r="BH569" s="124"/>
      <c r="BI569" s="124"/>
      <c r="BJ569" s="124"/>
      <c r="BK569" s="124"/>
      <c r="BL569" s="124"/>
      <c r="BM569" s="124"/>
      <c r="BN569" s="124"/>
      <c r="BO569" s="124"/>
      <c r="BP569" s="124"/>
    </row>
    <row r="570" spans="1:68" ht="31.5" x14ac:dyDescent="0.25">
      <c r="A570" s="104">
        <v>1</v>
      </c>
      <c r="B570" s="109" t="s">
        <v>275</v>
      </c>
      <c r="C570" s="489" t="s">
        <v>363</v>
      </c>
      <c r="D570" s="678" t="s">
        <v>412</v>
      </c>
      <c r="E570" s="190"/>
      <c r="F570" s="2"/>
      <c r="G570" s="445"/>
      <c r="H570" s="445"/>
      <c r="I570" s="445"/>
      <c r="J570" s="124"/>
      <c r="K570" s="124"/>
      <c r="L570" s="124"/>
      <c r="M570" s="124"/>
      <c r="N570" s="124"/>
      <c r="O570" s="124"/>
      <c r="P570" s="124"/>
      <c r="Q570" s="124"/>
      <c r="R570" s="124"/>
      <c r="S570" s="124"/>
      <c r="T570" s="124"/>
      <c r="U570" s="124"/>
      <c r="V570" s="124"/>
      <c r="W570" s="124"/>
      <c r="X570" s="124"/>
      <c r="Y570" s="124"/>
      <c r="Z570" s="124"/>
      <c r="AA570" s="124"/>
      <c r="AB570" s="124"/>
      <c r="AC570" s="124"/>
      <c r="AD570" s="124"/>
      <c r="AE570" s="124"/>
      <c r="AF570" s="124"/>
      <c r="AG570" s="124"/>
      <c r="AH570" s="124"/>
      <c r="AI570" s="124"/>
      <c r="AJ570" s="124"/>
      <c r="AK570" s="124"/>
      <c r="AL570" s="124"/>
      <c r="AM570" s="124"/>
      <c r="AN570" s="124"/>
      <c r="AO570" s="124"/>
      <c r="AP570" s="124"/>
      <c r="AQ570" s="124"/>
      <c r="AR570" s="124"/>
      <c r="AS570" s="124"/>
      <c r="AT570" s="124"/>
      <c r="AU570" s="124"/>
      <c r="AV570" s="124"/>
      <c r="AW570" s="124"/>
      <c r="AX570" s="124"/>
      <c r="AY570" s="124"/>
      <c r="AZ570" s="124"/>
      <c r="BA570" s="124"/>
      <c r="BB570" s="124"/>
      <c r="BC570" s="124"/>
      <c r="BD570" s="124"/>
      <c r="BE570" s="124"/>
      <c r="BF570" s="124"/>
      <c r="BG570" s="124"/>
      <c r="BH570" s="124"/>
      <c r="BI570" s="124"/>
      <c r="BJ570" s="124"/>
      <c r="BK570" s="124"/>
      <c r="BL570" s="124"/>
      <c r="BM570" s="124"/>
      <c r="BN570" s="124"/>
      <c r="BO570" s="124"/>
      <c r="BP570" s="124"/>
    </row>
    <row r="571" spans="1:68" s="58" customFormat="1" x14ac:dyDescent="0.25">
      <c r="A571" s="104">
        <v>1</v>
      </c>
      <c r="B571" s="109" t="s">
        <v>275</v>
      </c>
      <c r="C571" s="489" t="s">
        <v>363</v>
      </c>
      <c r="D571" s="12" t="s">
        <v>294</v>
      </c>
      <c r="E571" s="12"/>
      <c r="F571" s="84"/>
      <c r="G571" s="57"/>
      <c r="H571" s="57"/>
      <c r="I571" s="57"/>
    </row>
    <row r="572" spans="1:68" s="58" customFormat="1" x14ac:dyDescent="0.25">
      <c r="A572" s="104"/>
      <c r="B572" s="109" t="s">
        <v>275</v>
      </c>
      <c r="C572" s="489" t="s">
        <v>363</v>
      </c>
      <c r="D572" s="14" t="s">
        <v>187</v>
      </c>
      <c r="E572" s="12"/>
      <c r="F572" s="84">
        <f>F574+F575+F576+F577+F579</f>
        <v>22644</v>
      </c>
      <c r="G572" s="57"/>
      <c r="H572" s="57"/>
      <c r="I572" s="57"/>
    </row>
    <row r="573" spans="1:68" s="58" customFormat="1" x14ac:dyDescent="0.25">
      <c r="A573" s="104"/>
      <c r="B573" s="109" t="s">
        <v>275</v>
      </c>
      <c r="C573" s="489" t="s">
        <v>363</v>
      </c>
      <c r="D573" s="18" t="s">
        <v>113</v>
      </c>
      <c r="E573" s="12"/>
      <c r="F573" s="84"/>
      <c r="G573" s="57"/>
      <c r="H573" s="57"/>
      <c r="I573" s="57"/>
    </row>
    <row r="574" spans="1:68" s="58" customFormat="1" ht="30" x14ac:dyDescent="0.25">
      <c r="A574" s="104"/>
      <c r="B574" s="109" t="s">
        <v>275</v>
      </c>
      <c r="C574" s="489" t="s">
        <v>363</v>
      </c>
      <c r="D574" s="18" t="s">
        <v>114</v>
      </c>
      <c r="E574" s="12"/>
      <c r="F574" s="65">
        <v>14400</v>
      </c>
      <c r="G574" s="57"/>
      <c r="H574" s="57"/>
      <c r="I574" s="57"/>
    </row>
    <row r="575" spans="1:68" s="58" customFormat="1" ht="30" x14ac:dyDescent="0.25">
      <c r="A575" s="104"/>
      <c r="B575" s="109" t="s">
        <v>275</v>
      </c>
      <c r="C575" s="489" t="s">
        <v>363</v>
      </c>
      <c r="D575" s="16" t="s">
        <v>361</v>
      </c>
      <c r="E575" s="12"/>
      <c r="F575" s="84">
        <v>3500</v>
      </c>
      <c r="G575" s="57"/>
      <c r="H575" s="57"/>
      <c r="I575" s="57"/>
    </row>
    <row r="576" spans="1:68" s="58" customFormat="1" ht="45" x14ac:dyDescent="0.25">
      <c r="A576" s="104"/>
      <c r="B576" s="109" t="s">
        <v>275</v>
      </c>
      <c r="C576" s="489" t="s">
        <v>363</v>
      </c>
      <c r="D576" s="15" t="s">
        <v>219</v>
      </c>
      <c r="E576" s="12"/>
      <c r="F576" s="65">
        <v>826</v>
      </c>
      <c r="G576" s="57"/>
      <c r="H576" s="57"/>
      <c r="I576" s="57"/>
    </row>
    <row r="577" spans="1:68" s="58" customFormat="1" ht="45" x14ac:dyDescent="0.25">
      <c r="A577" s="104"/>
      <c r="B577" s="109" t="s">
        <v>275</v>
      </c>
      <c r="C577" s="489" t="s">
        <v>363</v>
      </c>
      <c r="D577" s="15" t="s">
        <v>188</v>
      </c>
      <c r="E577" s="12"/>
      <c r="F577" s="65">
        <v>2500</v>
      </c>
      <c r="G577" s="57"/>
      <c r="H577" s="57"/>
      <c r="I577" s="57"/>
    </row>
    <row r="578" spans="1:68" s="58" customFormat="1" ht="75" x14ac:dyDescent="0.25">
      <c r="A578" s="104"/>
      <c r="B578" s="109"/>
      <c r="C578" s="489" t="s">
        <v>363</v>
      </c>
      <c r="D578" s="15" t="s">
        <v>353</v>
      </c>
      <c r="E578" s="12"/>
      <c r="F578" s="65">
        <v>1500</v>
      </c>
      <c r="G578" s="57"/>
      <c r="H578" s="57"/>
      <c r="I578" s="57"/>
    </row>
    <row r="579" spans="1:68" s="58" customFormat="1" ht="30" x14ac:dyDescent="0.25">
      <c r="A579" s="104"/>
      <c r="B579" s="109"/>
      <c r="C579" s="489" t="s">
        <v>363</v>
      </c>
      <c r="D579" s="15" t="s">
        <v>293</v>
      </c>
      <c r="E579" s="12"/>
      <c r="F579" s="65">
        <v>1418</v>
      </c>
      <c r="G579" s="57"/>
      <c r="H579" s="57"/>
      <c r="I579" s="57"/>
    </row>
    <row r="580" spans="1:68" s="58" customFormat="1" x14ac:dyDescent="0.25">
      <c r="A580" s="104"/>
      <c r="B580" s="109" t="s">
        <v>275</v>
      </c>
      <c r="C580" s="489" t="s">
        <v>363</v>
      </c>
      <c r="D580" s="60" t="s">
        <v>88</v>
      </c>
      <c r="E580" s="12"/>
      <c r="F580" s="65">
        <v>19600</v>
      </c>
      <c r="G580" s="57"/>
      <c r="H580" s="57"/>
      <c r="I580" s="57"/>
    </row>
    <row r="581" spans="1:68" s="58" customFormat="1" x14ac:dyDescent="0.25">
      <c r="A581" s="104"/>
      <c r="B581" s="109" t="s">
        <v>275</v>
      </c>
      <c r="C581" s="489" t="s">
        <v>363</v>
      </c>
      <c r="D581" s="19" t="s">
        <v>145</v>
      </c>
      <c r="E581" s="12"/>
      <c r="F581" s="65">
        <v>19600</v>
      </c>
      <c r="G581" s="57"/>
      <c r="H581" s="57"/>
      <c r="I581" s="57"/>
    </row>
    <row r="582" spans="1:68" s="58" customFormat="1" ht="47.25" x14ac:dyDescent="0.25">
      <c r="A582" s="104"/>
      <c r="B582" s="109" t="s">
        <v>275</v>
      </c>
      <c r="C582" s="489" t="s">
        <v>363</v>
      </c>
      <c r="D582" s="61" t="s">
        <v>283</v>
      </c>
      <c r="E582" s="12"/>
      <c r="F582" s="84">
        <f>F583+F588</f>
        <v>5882</v>
      </c>
      <c r="G582" s="57"/>
      <c r="H582" s="57"/>
      <c r="I582" s="57"/>
    </row>
    <row r="583" spans="1:68" s="58" customFormat="1" ht="30" x14ac:dyDescent="0.25">
      <c r="A583" s="104"/>
      <c r="B583" s="109" t="s">
        <v>275</v>
      </c>
      <c r="C583" s="489" t="s">
        <v>363</v>
      </c>
      <c r="D583" s="16" t="s">
        <v>189</v>
      </c>
      <c r="E583" s="12"/>
      <c r="F583" s="65">
        <f>SUM(F584:F587)</f>
        <v>4298</v>
      </c>
      <c r="G583" s="57"/>
      <c r="H583" s="57"/>
      <c r="I583" s="57"/>
    </row>
    <row r="584" spans="1:68" s="58" customFormat="1" ht="30" x14ac:dyDescent="0.25">
      <c r="A584" s="104"/>
      <c r="B584" s="109" t="s">
        <v>275</v>
      </c>
      <c r="C584" s="489" t="s">
        <v>363</v>
      </c>
      <c r="D584" s="15" t="s">
        <v>190</v>
      </c>
      <c r="E584" s="12"/>
      <c r="F584" s="65">
        <v>4298</v>
      </c>
      <c r="G584" s="57"/>
      <c r="H584" s="57"/>
      <c r="I584" s="57"/>
    </row>
    <row r="585" spans="1:68" s="58" customFormat="1" ht="45" x14ac:dyDescent="0.25">
      <c r="A585" s="104">
        <v>1</v>
      </c>
      <c r="B585" s="109" t="s">
        <v>275</v>
      </c>
      <c r="C585" s="489" t="s">
        <v>363</v>
      </c>
      <c r="D585" s="15" t="s">
        <v>191</v>
      </c>
      <c r="E585" s="62"/>
      <c r="F585" s="57"/>
      <c r="G585" s="57"/>
      <c r="H585" s="57"/>
      <c r="I585" s="57"/>
    </row>
    <row r="586" spans="1:68" s="58" customFormat="1" ht="30" x14ac:dyDescent="0.25">
      <c r="A586" s="104">
        <v>1</v>
      </c>
      <c r="B586" s="109" t="s">
        <v>275</v>
      </c>
      <c r="C586" s="489" t="s">
        <v>363</v>
      </c>
      <c r="D586" s="15" t="s">
        <v>192</v>
      </c>
      <c r="E586" s="62"/>
      <c r="F586" s="57"/>
      <c r="G586" s="57"/>
      <c r="H586" s="57"/>
      <c r="I586" s="57"/>
    </row>
    <row r="587" spans="1:68" s="58" customFormat="1" ht="30" x14ac:dyDescent="0.25">
      <c r="A587" s="104">
        <v>1</v>
      </c>
      <c r="B587" s="109" t="s">
        <v>275</v>
      </c>
      <c r="C587" s="489" t="s">
        <v>363</v>
      </c>
      <c r="D587" s="15" t="s">
        <v>193</v>
      </c>
      <c r="E587" s="62"/>
      <c r="F587" s="2"/>
      <c r="G587" s="57"/>
      <c r="H587" s="57"/>
      <c r="I587" s="57"/>
    </row>
    <row r="588" spans="1:68" s="58" customFormat="1" ht="30" x14ac:dyDescent="0.25">
      <c r="A588" s="104">
        <v>1</v>
      </c>
      <c r="B588" s="109" t="s">
        <v>275</v>
      </c>
      <c r="C588" s="489" t="s">
        <v>363</v>
      </c>
      <c r="D588" s="16" t="s">
        <v>194</v>
      </c>
      <c r="E588" s="62"/>
      <c r="F588" s="29">
        <f>SUM(F589:F591)</f>
        <v>1584</v>
      </c>
      <c r="G588" s="57"/>
      <c r="H588" s="57"/>
      <c r="I588" s="57"/>
    </row>
    <row r="589" spans="1:68" s="58" customFormat="1" ht="30" x14ac:dyDescent="0.25">
      <c r="A589" s="104">
        <v>1</v>
      </c>
      <c r="B589" s="109" t="s">
        <v>275</v>
      </c>
      <c r="C589" s="489" t="s">
        <v>363</v>
      </c>
      <c r="D589" s="15" t="s">
        <v>195</v>
      </c>
      <c r="E589" s="62"/>
      <c r="F589" s="2">
        <v>1584</v>
      </c>
      <c r="G589" s="57"/>
      <c r="H589" s="57"/>
      <c r="I589" s="57"/>
    </row>
    <row r="590" spans="1:68" s="58" customFormat="1" ht="45" x14ac:dyDescent="0.25">
      <c r="A590" s="104">
        <v>1</v>
      </c>
      <c r="B590" s="109" t="s">
        <v>275</v>
      </c>
      <c r="C590" s="489" t="s">
        <v>363</v>
      </c>
      <c r="D590" s="15" t="s">
        <v>196</v>
      </c>
      <c r="E590" s="62"/>
      <c r="F590" s="10"/>
      <c r="G590" s="57"/>
      <c r="H590" s="57"/>
      <c r="I590" s="57"/>
    </row>
    <row r="591" spans="1:68" ht="45" x14ac:dyDescent="0.25">
      <c r="A591" s="104">
        <v>1</v>
      </c>
      <c r="B591" s="109" t="s">
        <v>275</v>
      </c>
      <c r="C591" s="489" t="s">
        <v>363</v>
      </c>
      <c r="D591" s="15" t="s">
        <v>197</v>
      </c>
      <c r="E591" s="13"/>
      <c r="F591" s="2"/>
      <c r="G591" s="2"/>
      <c r="H591" s="2"/>
      <c r="I591" s="2"/>
      <c r="J591" s="124"/>
      <c r="K591" s="124"/>
      <c r="L591" s="124"/>
      <c r="M591" s="124"/>
      <c r="N591" s="124"/>
      <c r="O591" s="124"/>
      <c r="P591" s="124"/>
      <c r="Q591" s="124"/>
      <c r="R591" s="124"/>
      <c r="S591" s="124"/>
      <c r="T591" s="124"/>
      <c r="U591" s="124"/>
      <c r="V591" s="124"/>
      <c r="W591" s="124"/>
      <c r="X591" s="124"/>
      <c r="Y591" s="124"/>
      <c r="Z591" s="124"/>
      <c r="AA591" s="124"/>
      <c r="AB591" s="124"/>
      <c r="AC591" s="124"/>
      <c r="AD591" s="124"/>
      <c r="AE591" s="124"/>
      <c r="AF591" s="124"/>
      <c r="AG591" s="124"/>
      <c r="AH591" s="124"/>
      <c r="AI591" s="124"/>
      <c r="AJ591" s="124"/>
      <c r="AK591" s="124"/>
      <c r="AL591" s="124"/>
      <c r="AM591" s="124"/>
      <c r="AN591" s="124"/>
      <c r="AO591" s="124"/>
      <c r="AP591" s="124"/>
      <c r="AQ591" s="124"/>
      <c r="AR591" s="124"/>
      <c r="AS591" s="124"/>
      <c r="AT591" s="124"/>
      <c r="AU591" s="124"/>
      <c r="AV591" s="124"/>
      <c r="AW591" s="124"/>
      <c r="AX591" s="124"/>
      <c r="AY591" s="124"/>
      <c r="AZ591" s="124"/>
      <c r="BA591" s="124"/>
      <c r="BB591" s="124"/>
      <c r="BC591" s="124"/>
      <c r="BD591" s="124"/>
      <c r="BE591" s="124"/>
      <c r="BF591" s="124"/>
      <c r="BG591" s="124"/>
      <c r="BH591" s="124"/>
      <c r="BI591" s="124"/>
      <c r="BJ591" s="124"/>
      <c r="BK591" s="124"/>
      <c r="BL591" s="124"/>
      <c r="BM591" s="124"/>
      <c r="BN591" s="124"/>
      <c r="BO591" s="124"/>
      <c r="BP591" s="124"/>
    </row>
    <row r="592" spans="1:68" x14ac:dyDescent="0.25">
      <c r="B592" s="109"/>
      <c r="C592" s="489" t="s">
        <v>363</v>
      </c>
      <c r="D592" s="12" t="s">
        <v>96</v>
      </c>
      <c r="E592" s="41"/>
      <c r="F592" s="2"/>
      <c r="G592" s="2"/>
      <c r="H592" s="2"/>
      <c r="I592" s="2"/>
      <c r="J592" s="58"/>
      <c r="K592" s="124"/>
      <c r="L592" s="124"/>
      <c r="M592" s="124"/>
      <c r="N592" s="124"/>
      <c r="O592" s="124"/>
      <c r="P592" s="124"/>
      <c r="Q592" s="124"/>
      <c r="R592" s="124"/>
      <c r="S592" s="124"/>
      <c r="T592" s="124"/>
      <c r="U592" s="124"/>
      <c r="V592" s="124"/>
      <c r="W592" s="124"/>
      <c r="X592" s="124"/>
      <c r="Y592" s="124"/>
      <c r="Z592" s="124"/>
      <c r="AA592" s="124"/>
      <c r="AB592" s="124"/>
      <c r="AC592" s="124"/>
      <c r="AD592" s="124"/>
      <c r="AE592" s="124"/>
      <c r="AF592" s="124"/>
      <c r="AG592" s="124"/>
      <c r="AH592" s="124"/>
      <c r="AI592" s="124"/>
      <c r="AJ592" s="124"/>
      <c r="AK592" s="124"/>
      <c r="AL592" s="124"/>
      <c r="AM592" s="124"/>
      <c r="AN592" s="124"/>
      <c r="AO592" s="124"/>
      <c r="AP592" s="124"/>
      <c r="AQ592" s="124"/>
      <c r="AR592" s="124"/>
      <c r="AS592" s="124"/>
      <c r="AT592" s="124"/>
      <c r="AU592" s="124"/>
      <c r="AV592" s="124"/>
      <c r="AW592" s="124"/>
      <c r="AX592" s="124"/>
      <c r="AY592" s="124"/>
      <c r="AZ592" s="124"/>
      <c r="BA592" s="124"/>
      <c r="BB592" s="124"/>
      <c r="BC592" s="124"/>
      <c r="BD592" s="124"/>
      <c r="BE592" s="124"/>
      <c r="BF592" s="124"/>
      <c r="BG592" s="124"/>
      <c r="BH592" s="124"/>
      <c r="BI592" s="124"/>
      <c r="BJ592" s="124"/>
      <c r="BK592" s="124"/>
      <c r="BL592" s="124"/>
      <c r="BM592" s="124"/>
      <c r="BN592" s="124"/>
      <c r="BO592" s="124"/>
      <c r="BP592" s="124"/>
    </row>
    <row r="593" spans="1:10" s="58" customFormat="1" x14ac:dyDescent="0.25">
      <c r="A593" s="104">
        <v>1</v>
      </c>
      <c r="B593" s="109" t="s">
        <v>275</v>
      </c>
      <c r="C593" s="489" t="s">
        <v>363</v>
      </c>
      <c r="D593" s="14" t="s">
        <v>296</v>
      </c>
      <c r="E593" s="281"/>
      <c r="F593" s="29">
        <f>SUM(F594,F595,F599,F600,F601,F602)</f>
        <v>991</v>
      </c>
      <c r="G593" s="57"/>
      <c r="H593" s="57"/>
      <c r="I593" s="57"/>
    </row>
    <row r="594" spans="1:10" s="58" customFormat="1" x14ac:dyDescent="0.25">
      <c r="A594" s="104">
        <v>1</v>
      </c>
      <c r="B594" s="109" t="s">
        <v>275</v>
      </c>
      <c r="C594" s="489" t="s">
        <v>363</v>
      </c>
      <c r="D594" s="15" t="s">
        <v>297</v>
      </c>
      <c r="E594" s="64"/>
      <c r="F594" s="62"/>
      <c r="G594" s="65"/>
      <c r="H594" s="65"/>
      <c r="I594" s="65"/>
    </row>
    <row r="595" spans="1:10" s="58" customFormat="1" ht="30" x14ac:dyDescent="0.25">
      <c r="A595" s="104">
        <v>1</v>
      </c>
      <c r="B595" s="109" t="s">
        <v>275</v>
      </c>
      <c r="C595" s="489" t="s">
        <v>363</v>
      </c>
      <c r="D595" s="16" t="s">
        <v>298</v>
      </c>
      <c r="E595" s="13"/>
      <c r="F595" s="2"/>
      <c r="G595" s="65"/>
      <c r="H595" s="65"/>
      <c r="I595" s="65"/>
    </row>
    <row r="596" spans="1:10" s="124" customFormat="1" x14ac:dyDescent="0.25">
      <c r="A596" s="104"/>
      <c r="B596" s="109" t="s">
        <v>275</v>
      </c>
      <c r="C596" s="489" t="s">
        <v>363</v>
      </c>
      <c r="D596" s="15" t="s">
        <v>299</v>
      </c>
      <c r="E596" s="13"/>
      <c r="F596" s="13"/>
      <c r="G596" s="10"/>
      <c r="H596" s="10"/>
      <c r="I596" s="10"/>
      <c r="J596" s="58"/>
    </row>
    <row r="597" spans="1:10" s="58" customFormat="1" ht="30" x14ac:dyDescent="0.25">
      <c r="A597" s="104">
        <v>1</v>
      </c>
      <c r="B597" s="109" t="s">
        <v>275</v>
      </c>
      <c r="C597" s="489" t="s">
        <v>363</v>
      </c>
      <c r="D597" s="15" t="s">
        <v>300</v>
      </c>
      <c r="E597" s="13"/>
      <c r="F597" s="2"/>
      <c r="G597" s="65"/>
      <c r="H597" s="65"/>
      <c r="I597" s="65"/>
    </row>
    <row r="598" spans="1:10" s="58" customFormat="1" ht="45" x14ac:dyDescent="0.25">
      <c r="A598" s="104">
        <v>1</v>
      </c>
      <c r="B598" s="109" t="s">
        <v>275</v>
      </c>
      <c r="C598" s="489" t="s">
        <v>363</v>
      </c>
      <c r="D598" s="15" t="s">
        <v>301</v>
      </c>
      <c r="E598" s="13"/>
      <c r="F598" s="2"/>
      <c r="G598" s="65"/>
      <c r="H598" s="65"/>
      <c r="I598" s="65"/>
    </row>
    <row r="599" spans="1:10" s="58" customFormat="1" ht="45" x14ac:dyDescent="0.25">
      <c r="A599" s="104">
        <v>1</v>
      </c>
      <c r="B599" s="109" t="s">
        <v>275</v>
      </c>
      <c r="C599" s="489" t="s">
        <v>363</v>
      </c>
      <c r="D599" s="15" t="s">
        <v>309</v>
      </c>
      <c r="E599" s="13"/>
      <c r="F599" s="57"/>
      <c r="G599" s="65"/>
      <c r="H599" s="65"/>
      <c r="I599" s="65"/>
    </row>
    <row r="600" spans="1:10" s="58" customFormat="1" ht="45" x14ac:dyDescent="0.25">
      <c r="A600" s="104">
        <v>1</v>
      </c>
      <c r="B600" s="109" t="s">
        <v>275</v>
      </c>
      <c r="C600" s="489" t="s">
        <v>363</v>
      </c>
      <c r="D600" s="18" t="s">
        <v>310</v>
      </c>
      <c r="E600" s="13"/>
      <c r="F600" s="57"/>
      <c r="G600" s="65"/>
      <c r="H600" s="65"/>
      <c r="I600" s="65"/>
    </row>
    <row r="601" spans="1:10" s="58" customFormat="1" ht="75" x14ac:dyDescent="0.25">
      <c r="A601" s="104"/>
      <c r="B601" s="109"/>
      <c r="C601" s="489" t="s">
        <v>363</v>
      </c>
      <c r="D601" s="18" t="s">
        <v>354</v>
      </c>
      <c r="E601" s="13"/>
      <c r="F601" s="55">
        <v>250</v>
      </c>
      <c r="G601" s="65"/>
      <c r="H601" s="65"/>
      <c r="I601" s="43"/>
    </row>
    <row r="602" spans="1:10" s="58" customFormat="1" ht="28.5" x14ac:dyDescent="0.25">
      <c r="A602" s="104"/>
      <c r="B602" s="109"/>
      <c r="C602" s="489" t="s">
        <v>363</v>
      </c>
      <c r="D602" s="66" t="s">
        <v>344</v>
      </c>
      <c r="E602" s="13"/>
      <c r="F602" s="55">
        <f>F603</f>
        <v>741</v>
      </c>
      <c r="G602" s="59"/>
      <c r="H602" s="59"/>
      <c r="I602" s="81"/>
    </row>
    <row r="603" spans="1:10" s="58" customFormat="1" x14ac:dyDescent="0.25">
      <c r="A603" s="104"/>
      <c r="B603" s="109"/>
      <c r="C603" s="489" t="s">
        <v>363</v>
      </c>
      <c r="D603" s="18" t="s">
        <v>345</v>
      </c>
      <c r="E603" s="13"/>
      <c r="F603" s="55">
        <v>741</v>
      </c>
      <c r="G603" s="59"/>
      <c r="H603" s="59"/>
      <c r="I603" s="81"/>
    </row>
    <row r="604" spans="1:10" s="58" customFormat="1" ht="28.5" x14ac:dyDescent="0.25">
      <c r="A604" s="104"/>
      <c r="B604" s="109"/>
      <c r="C604" s="489" t="s">
        <v>363</v>
      </c>
      <c r="D604" s="66" t="s">
        <v>346</v>
      </c>
      <c r="E604" s="13"/>
      <c r="F604" s="55"/>
      <c r="G604" s="59"/>
      <c r="H604" s="59"/>
      <c r="I604" s="81"/>
    </row>
    <row r="605" spans="1:10" s="58" customFormat="1" x14ac:dyDescent="0.25">
      <c r="A605" s="104"/>
      <c r="B605" s="109"/>
      <c r="C605" s="489" t="s">
        <v>363</v>
      </c>
      <c r="D605" s="18"/>
      <c r="E605" s="13"/>
      <c r="F605" s="55"/>
      <c r="G605" s="65"/>
      <c r="H605" s="65"/>
      <c r="I605" s="43"/>
    </row>
    <row r="606" spans="1:10" s="58" customFormat="1" x14ac:dyDescent="0.25">
      <c r="A606" s="104">
        <v>1</v>
      </c>
      <c r="B606" s="109" t="s">
        <v>275</v>
      </c>
      <c r="C606" s="489" t="s">
        <v>363</v>
      </c>
      <c r="D606" s="14" t="s">
        <v>303</v>
      </c>
      <c r="E606" s="13"/>
      <c r="F606" s="57"/>
      <c r="G606" s="65"/>
      <c r="H606" s="65"/>
      <c r="I606" s="65"/>
    </row>
    <row r="607" spans="1:10" s="58" customFormat="1" x14ac:dyDescent="0.25">
      <c r="A607" s="104">
        <v>1</v>
      </c>
      <c r="B607" s="109" t="s">
        <v>275</v>
      </c>
      <c r="C607" s="489" t="s">
        <v>363</v>
      </c>
      <c r="D607" s="14" t="s">
        <v>304</v>
      </c>
      <c r="E607" s="13"/>
      <c r="F607" s="57"/>
      <c r="G607" s="65"/>
      <c r="H607" s="65"/>
      <c r="I607" s="65"/>
    </row>
    <row r="608" spans="1:10" s="58" customFormat="1" x14ac:dyDescent="0.25">
      <c r="A608" s="104">
        <v>1</v>
      </c>
      <c r="B608" s="109" t="s">
        <v>275</v>
      </c>
      <c r="C608" s="489" t="s">
        <v>363</v>
      </c>
      <c r="D608" s="15" t="s">
        <v>305</v>
      </c>
      <c r="E608" s="13"/>
      <c r="F608" s="78"/>
      <c r="G608" s="65"/>
      <c r="H608" s="65"/>
      <c r="I608" s="65"/>
    </row>
    <row r="609" spans="1:68" s="58" customFormat="1" x14ac:dyDescent="0.25">
      <c r="A609" s="104">
        <v>1</v>
      </c>
      <c r="B609" s="109" t="s">
        <v>275</v>
      </c>
      <c r="C609" s="489" t="s">
        <v>363</v>
      </c>
      <c r="D609" s="42" t="s">
        <v>314</v>
      </c>
      <c r="E609" s="13"/>
      <c r="F609" s="2"/>
      <c r="G609" s="65"/>
      <c r="H609" s="65"/>
      <c r="I609" s="65"/>
    </row>
    <row r="610" spans="1:68" s="58" customFormat="1" ht="29.25" x14ac:dyDescent="0.25">
      <c r="A610" s="104">
        <v>1</v>
      </c>
      <c r="B610" s="109" t="s">
        <v>275</v>
      </c>
      <c r="C610" s="489" t="s">
        <v>363</v>
      </c>
      <c r="D610" s="14" t="s">
        <v>306</v>
      </c>
      <c r="E610" s="13"/>
      <c r="F610" s="2">
        <v>6000</v>
      </c>
      <c r="G610" s="65"/>
      <c r="H610" s="65"/>
      <c r="I610" s="65"/>
    </row>
    <row r="611" spans="1:68" s="58" customFormat="1" x14ac:dyDescent="0.25">
      <c r="A611" s="104">
        <v>1</v>
      </c>
      <c r="B611" s="109" t="s">
        <v>275</v>
      </c>
      <c r="C611" s="489" t="s">
        <v>363</v>
      </c>
      <c r="D611" s="19" t="s">
        <v>115</v>
      </c>
      <c r="E611" s="13"/>
      <c r="F611" s="39"/>
      <c r="G611" s="65"/>
      <c r="H611" s="65"/>
      <c r="I611" s="65"/>
    </row>
    <row r="612" spans="1:68" s="58" customFormat="1" ht="57.75" x14ac:dyDescent="0.25">
      <c r="A612" s="104">
        <v>1</v>
      </c>
      <c r="B612" s="109" t="s">
        <v>275</v>
      </c>
      <c r="C612" s="489" t="s">
        <v>363</v>
      </c>
      <c r="D612" s="14" t="s">
        <v>307</v>
      </c>
      <c r="E612" s="13"/>
      <c r="F612" s="39"/>
      <c r="G612" s="65"/>
      <c r="H612" s="65"/>
      <c r="I612" s="65"/>
    </row>
    <row r="613" spans="1:68" s="58" customFormat="1" x14ac:dyDescent="0.25">
      <c r="A613" s="104">
        <v>1</v>
      </c>
      <c r="B613" s="109" t="s">
        <v>275</v>
      </c>
      <c r="C613" s="489" t="s">
        <v>363</v>
      </c>
      <c r="D613" s="20" t="s">
        <v>158</v>
      </c>
      <c r="E613" s="13"/>
      <c r="F613" s="39">
        <f>SUM(F614:F614)</f>
        <v>450</v>
      </c>
      <c r="G613" s="65"/>
      <c r="H613" s="65"/>
      <c r="I613" s="65"/>
    </row>
    <row r="614" spans="1:68" s="58" customFormat="1" ht="30" x14ac:dyDescent="0.25">
      <c r="A614" s="104">
        <v>1</v>
      </c>
      <c r="B614" s="109" t="s">
        <v>275</v>
      </c>
      <c r="C614" s="489" t="s">
        <v>363</v>
      </c>
      <c r="D614" s="35" t="s">
        <v>203</v>
      </c>
      <c r="E614" s="13"/>
      <c r="F614" s="39">
        <v>450</v>
      </c>
      <c r="G614" s="65"/>
      <c r="H614" s="65"/>
      <c r="I614" s="65"/>
    </row>
    <row r="615" spans="1:68" s="58" customFormat="1" x14ac:dyDescent="0.25">
      <c r="A615" s="104">
        <v>1</v>
      </c>
      <c r="B615" s="109" t="s">
        <v>275</v>
      </c>
      <c r="C615" s="489" t="s">
        <v>363</v>
      </c>
      <c r="D615" s="21" t="s">
        <v>198</v>
      </c>
      <c r="E615" s="13"/>
      <c r="F615" s="29">
        <f>F572+F593</f>
        <v>23635</v>
      </c>
      <c r="G615" s="65"/>
      <c r="H615" s="65"/>
      <c r="I615" s="65"/>
    </row>
    <row r="616" spans="1:68" s="58" customFormat="1" ht="29.25" x14ac:dyDescent="0.25">
      <c r="A616" s="104">
        <v>1</v>
      </c>
      <c r="B616" s="109" t="s">
        <v>275</v>
      </c>
      <c r="C616" s="489" t="s">
        <v>363</v>
      </c>
      <c r="D616" s="21" t="s">
        <v>199</v>
      </c>
      <c r="E616" s="13"/>
      <c r="F616" s="29">
        <f>F582</f>
        <v>5882</v>
      </c>
      <c r="G616" s="65"/>
      <c r="H616" s="65"/>
      <c r="I616" s="65"/>
    </row>
    <row r="617" spans="1:68" s="58" customFormat="1" x14ac:dyDescent="0.25">
      <c r="A617" s="104">
        <v>1</v>
      </c>
      <c r="B617" s="109" t="s">
        <v>275</v>
      </c>
      <c r="C617" s="489" t="s">
        <v>363</v>
      </c>
      <c r="D617" s="21" t="s">
        <v>200</v>
      </c>
      <c r="E617" s="13"/>
      <c r="F617" s="29">
        <f>F606+F580</f>
        <v>19600</v>
      </c>
      <c r="G617" s="65"/>
      <c r="H617" s="65"/>
      <c r="I617" s="65"/>
    </row>
    <row r="618" spans="1:68" s="58" customFormat="1" ht="29.25" x14ac:dyDescent="0.25">
      <c r="A618" s="104">
        <v>1</v>
      </c>
      <c r="B618" s="109" t="s">
        <v>275</v>
      </c>
      <c r="C618" s="489" t="s">
        <v>363</v>
      </c>
      <c r="D618" s="21" t="s">
        <v>201</v>
      </c>
      <c r="E618" s="62"/>
      <c r="F618" s="62">
        <f>F610</f>
        <v>6000</v>
      </c>
      <c r="G618" s="65"/>
      <c r="H618" s="65"/>
      <c r="I618" s="65"/>
    </row>
    <row r="619" spans="1:68" s="58" customFormat="1" x14ac:dyDescent="0.25">
      <c r="A619" s="104">
        <v>1</v>
      </c>
      <c r="B619" s="109" t="s">
        <v>275</v>
      </c>
      <c r="C619" s="489" t="s">
        <v>363</v>
      </c>
      <c r="D619" s="22" t="s">
        <v>109</v>
      </c>
      <c r="E619" s="62"/>
      <c r="F619" s="94">
        <f>F616+F615+F618+F617*2.9</f>
        <v>92357</v>
      </c>
      <c r="G619" s="65"/>
      <c r="H619" s="65"/>
      <c r="I619" s="65"/>
    </row>
    <row r="620" spans="1:68" x14ac:dyDescent="0.25">
      <c r="A620" s="104">
        <v>1</v>
      </c>
      <c r="B620" s="109" t="s">
        <v>275</v>
      </c>
      <c r="C620" s="489" t="s">
        <v>363</v>
      </c>
      <c r="D620" s="30" t="s">
        <v>7</v>
      </c>
      <c r="E620" s="652"/>
      <c r="F620" s="2"/>
      <c r="G620" s="2"/>
      <c r="H620" s="2"/>
      <c r="I620" s="2"/>
      <c r="J620" s="124"/>
      <c r="K620" s="124"/>
      <c r="L620" s="124"/>
      <c r="M620" s="124"/>
      <c r="N620" s="124"/>
      <c r="O620" s="124"/>
      <c r="P620" s="124"/>
      <c r="Q620" s="124"/>
      <c r="R620" s="124"/>
      <c r="S620" s="124"/>
      <c r="T620" s="124"/>
      <c r="U620" s="124"/>
      <c r="V620" s="124"/>
      <c r="W620" s="124"/>
      <c r="X620" s="124"/>
      <c r="Y620" s="124"/>
      <c r="Z620" s="124"/>
      <c r="AA620" s="124"/>
      <c r="AB620" s="124"/>
      <c r="AC620" s="124"/>
      <c r="AD620" s="124"/>
      <c r="AE620" s="124"/>
      <c r="AF620" s="124"/>
      <c r="AG620" s="124"/>
      <c r="AH620" s="124"/>
      <c r="AI620" s="124"/>
      <c r="AJ620" s="124"/>
      <c r="AK620" s="124"/>
      <c r="AL620" s="124"/>
      <c r="AM620" s="124"/>
      <c r="AN620" s="124"/>
      <c r="AO620" s="124"/>
      <c r="AP620" s="124"/>
      <c r="AQ620" s="124"/>
      <c r="AR620" s="124"/>
      <c r="AS620" s="124"/>
      <c r="AT620" s="124"/>
      <c r="AU620" s="124"/>
      <c r="AV620" s="124"/>
      <c r="AW620" s="124"/>
      <c r="AX620" s="124"/>
      <c r="AY620" s="124"/>
      <c r="AZ620" s="124"/>
      <c r="BA620" s="124"/>
      <c r="BB620" s="124"/>
      <c r="BC620" s="124"/>
      <c r="BD620" s="124"/>
      <c r="BE620" s="124"/>
      <c r="BF620" s="124"/>
      <c r="BG620" s="124"/>
      <c r="BH620" s="124"/>
      <c r="BI620" s="124"/>
      <c r="BJ620" s="124"/>
      <c r="BK620" s="124"/>
      <c r="BL620" s="124"/>
      <c r="BM620" s="124"/>
      <c r="BN620" s="124"/>
      <c r="BO620" s="124"/>
      <c r="BP620" s="124"/>
    </row>
    <row r="621" spans="1:68" x14ac:dyDescent="0.25">
      <c r="A621" s="104">
        <v>1</v>
      </c>
      <c r="B621" s="109" t="s">
        <v>275</v>
      </c>
      <c r="C621" s="489" t="s">
        <v>363</v>
      </c>
      <c r="D621" s="40" t="s">
        <v>18</v>
      </c>
      <c r="E621" s="652"/>
      <c r="F621" s="2"/>
      <c r="G621" s="2"/>
      <c r="H621" s="2"/>
      <c r="I621" s="2"/>
      <c r="J621" s="124"/>
      <c r="K621" s="124"/>
      <c r="L621" s="124"/>
      <c r="M621" s="124"/>
      <c r="N621" s="124"/>
      <c r="O621" s="124"/>
      <c r="P621" s="124"/>
      <c r="Q621" s="124"/>
      <c r="R621" s="124"/>
      <c r="S621" s="124"/>
      <c r="T621" s="124"/>
      <c r="U621" s="124"/>
      <c r="V621" s="124"/>
      <c r="W621" s="124"/>
      <c r="X621" s="124"/>
      <c r="Y621" s="124"/>
      <c r="Z621" s="124"/>
      <c r="AA621" s="124"/>
      <c r="AB621" s="124"/>
      <c r="AC621" s="124"/>
      <c r="AD621" s="124"/>
      <c r="AE621" s="124"/>
      <c r="AF621" s="124"/>
      <c r="AG621" s="124"/>
      <c r="AH621" s="124"/>
      <c r="AI621" s="124"/>
      <c r="AJ621" s="124"/>
      <c r="AK621" s="124"/>
      <c r="AL621" s="124"/>
      <c r="AM621" s="124"/>
      <c r="AN621" s="124"/>
      <c r="AO621" s="124"/>
      <c r="AP621" s="124"/>
      <c r="AQ621" s="124"/>
      <c r="AR621" s="124"/>
      <c r="AS621" s="124"/>
      <c r="AT621" s="124"/>
      <c r="AU621" s="124"/>
      <c r="AV621" s="124"/>
      <c r="AW621" s="124"/>
      <c r="AX621" s="124"/>
      <c r="AY621" s="124"/>
      <c r="AZ621" s="124"/>
      <c r="BA621" s="124"/>
      <c r="BB621" s="124"/>
      <c r="BC621" s="124"/>
      <c r="BD621" s="124"/>
      <c r="BE621" s="124"/>
      <c r="BF621" s="124"/>
      <c r="BG621" s="124"/>
      <c r="BH621" s="124"/>
      <c r="BI621" s="124"/>
      <c r="BJ621" s="124"/>
      <c r="BK621" s="124"/>
      <c r="BL621" s="124"/>
      <c r="BM621" s="124"/>
      <c r="BN621" s="124"/>
      <c r="BO621" s="124"/>
      <c r="BP621" s="124"/>
    </row>
    <row r="622" spans="1:68" x14ac:dyDescent="0.25">
      <c r="B622" s="109"/>
      <c r="C622" s="489" t="s">
        <v>363</v>
      </c>
      <c r="D622" s="439" t="s">
        <v>77</v>
      </c>
      <c r="E622" s="652">
        <v>240</v>
      </c>
      <c r="F622" s="2">
        <v>85</v>
      </c>
      <c r="G622" s="355">
        <v>3</v>
      </c>
      <c r="H622" s="2">
        <f>ROUND(I622/E622,0)</f>
        <v>1</v>
      </c>
      <c r="I622" s="2">
        <f>ROUND(F622*G622,0)</f>
        <v>255</v>
      </c>
      <c r="J622" s="124"/>
      <c r="K622" s="124"/>
      <c r="L622" s="124"/>
      <c r="M622" s="124"/>
      <c r="N622" s="124"/>
      <c r="O622" s="124"/>
      <c r="P622" s="124"/>
      <c r="Q622" s="124"/>
      <c r="R622" s="124"/>
      <c r="S622" s="124"/>
      <c r="T622" s="124"/>
      <c r="U622" s="124"/>
      <c r="V622" s="124"/>
      <c r="W622" s="124"/>
      <c r="X622" s="124"/>
      <c r="Y622" s="124"/>
      <c r="Z622" s="124"/>
      <c r="AA622" s="124"/>
      <c r="AB622" s="124"/>
      <c r="AC622" s="124"/>
      <c r="AD622" s="124"/>
      <c r="AE622" s="124"/>
      <c r="AF622" s="124"/>
      <c r="AG622" s="124"/>
      <c r="AH622" s="124"/>
      <c r="AI622" s="124"/>
      <c r="AJ622" s="124"/>
      <c r="AK622" s="124"/>
      <c r="AL622" s="124"/>
      <c r="AM622" s="124"/>
      <c r="AN622" s="124"/>
      <c r="AO622" s="124"/>
      <c r="AP622" s="124"/>
      <c r="AQ622" s="124"/>
      <c r="AR622" s="124"/>
      <c r="AS622" s="124"/>
      <c r="AT622" s="124"/>
      <c r="AU622" s="124"/>
      <c r="AV622" s="124"/>
      <c r="AW622" s="124"/>
      <c r="AX622" s="124"/>
      <c r="AY622" s="124"/>
      <c r="AZ622" s="124"/>
      <c r="BA622" s="124"/>
      <c r="BB622" s="124"/>
      <c r="BC622" s="124"/>
      <c r="BD622" s="124"/>
      <c r="BE622" s="124"/>
      <c r="BF622" s="124"/>
      <c r="BG622" s="124"/>
      <c r="BH622" s="124"/>
      <c r="BI622" s="124"/>
      <c r="BJ622" s="124"/>
      <c r="BK622" s="124"/>
      <c r="BL622" s="124"/>
      <c r="BM622" s="124"/>
      <c r="BN622" s="124"/>
      <c r="BO622" s="124"/>
      <c r="BP622" s="124"/>
    </row>
    <row r="623" spans="1:68" x14ac:dyDescent="0.25">
      <c r="A623" s="104">
        <v>1</v>
      </c>
      <c r="B623" s="109" t="s">
        <v>275</v>
      </c>
      <c r="C623" s="489" t="s">
        <v>363</v>
      </c>
      <c r="D623" s="25" t="s">
        <v>35</v>
      </c>
      <c r="E623" s="652">
        <v>240</v>
      </c>
      <c r="F623" s="2">
        <v>920</v>
      </c>
      <c r="G623" s="355">
        <v>8</v>
      </c>
      <c r="H623" s="2">
        <f>ROUND(I623/E623,0)</f>
        <v>31</v>
      </c>
      <c r="I623" s="2">
        <f>ROUND(F623*G623,0)</f>
        <v>7360</v>
      </c>
      <c r="J623" s="124"/>
      <c r="K623" s="124"/>
      <c r="L623" s="124"/>
      <c r="M623" s="124"/>
      <c r="N623" s="124"/>
      <c r="O623" s="124"/>
      <c r="P623" s="124"/>
      <c r="Q623" s="124"/>
      <c r="R623" s="124"/>
      <c r="S623" s="124"/>
      <c r="T623" s="124"/>
      <c r="U623" s="124"/>
      <c r="V623" s="124"/>
      <c r="W623" s="124"/>
      <c r="X623" s="124"/>
      <c r="Y623" s="124"/>
      <c r="Z623" s="124"/>
      <c r="AA623" s="124"/>
      <c r="AB623" s="124"/>
      <c r="AC623" s="124"/>
      <c r="AD623" s="124"/>
      <c r="AE623" s="124"/>
      <c r="AF623" s="124"/>
      <c r="AG623" s="124"/>
      <c r="AH623" s="124"/>
      <c r="AI623" s="124"/>
      <c r="AJ623" s="124"/>
      <c r="AK623" s="124"/>
      <c r="AL623" s="124"/>
      <c r="AM623" s="124"/>
      <c r="AN623" s="124"/>
      <c r="AO623" s="124"/>
      <c r="AP623" s="124"/>
      <c r="AQ623" s="124"/>
      <c r="AR623" s="124"/>
      <c r="AS623" s="124"/>
      <c r="AT623" s="124"/>
      <c r="AU623" s="124"/>
      <c r="AV623" s="124"/>
      <c r="AW623" s="124"/>
      <c r="AX623" s="124"/>
      <c r="AY623" s="124"/>
      <c r="AZ623" s="124"/>
      <c r="BA623" s="124"/>
      <c r="BB623" s="124"/>
      <c r="BC623" s="124"/>
      <c r="BD623" s="124"/>
      <c r="BE623" s="124"/>
      <c r="BF623" s="124"/>
      <c r="BG623" s="124"/>
      <c r="BH623" s="124"/>
      <c r="BI623" s="124"/>
      <c r="BJ623" s="124"/>
      <c r="BK623" s="124"/>
      <c r="BL623" s="124"/>
      <c r="BM623" s="124"/>
      <c r="BN623" s="124"/>
      <c r="BO623" s="124"/>
      <c r="BP623" s="124"/>
    </row>
    <row r="624" spans="1:68" x14ac:dyDescent="0.25">
      <c r="A624" s="104">
        <v>1</v>
      </c>
      <c r="B624" s="109" t="s">
        <v>275</v>
      </c>
      <c r="C624" s="489" t="s">
        <v>363</v>
      </c>
      <c r="D624" s="634" t="s">
        <v>92</v>
      </c>
      <c r="E624" s="653"/>
      <c r="F624" s="31">
        <f>SUM(F622:F623)</f>
        <v>1005</v>
      </c>
      <c r="G624" s="143">
        <f>I624/F624</f>
        <v>7.5771144278606961</v>
      </c>
      <c r="H624" s="31">
        <f>H623+H622</f>
        <v>32</v>
      </c>
      <c r="I624" s="31">
        <f>I623+I622</f>
        <v>7615</v>
      </c>
      <c r="J624" s="124"/>
      <c r="K624" s="124"/>
      <c r="L624" s="124"/>
      <c r="M624" s="124"/>
      <c r="N624" s="124"/>
      <c r="O624" s="124"/>
      <c r="P624" s="124"/>
      <c r="Q624" s="124"/>
      <c r="R624" s="124"/>
      <c r="S624" s="124"/>
      <c r="T624" s="124"/>
      <c r="U624" s="124"/>
      <c r="V624" s="124"/>
      <c r="W624" s="124"/>
      <c r="X624" s="124"/>
      <c r="Y624" s="124"/>
      <c r="Z624" s="124"/>
      <c r="AA624" s="124"/>
      <c r="AB624" s="124"/>
      <c r="AC624" s="124"/>
      <c r="AD624" s="124"/>
      <c r="AE624" s="124"/>
      <c r="AF624" s="124"/>
      <c r="AG624" s="124"/>
      <c r="AH624" s="124"/>
      <c r="AI624" s="124"/>
      <c r="AJ624" s="124"/>
      <c r="AK624" s="124"/>
      <c r="AL624" s="124"/>
      <c r="AM624" s="124"/>
      <c r="AN624" s="124"/>
      <c r="AO624" s="124"/>
      <c r="AP624" s="124"/>
      <c r="AQ624" s="124"/>
      <c r="AR624" s="124"/>
      <c r="AS624" s="124"/>
      <c r="AT624" s="124"/>
      <c r="AU624" s="124"/>
      <c r="AV624" s="124"/>
      <c r="AW624" s="124"/>
      <c r="AX624" s="124"/>
      <c r="AY624" s="124"/>
      <c r="AZ624" s="124"/>
      <c r="BA624" s="124"/>
      <c r="BB624" s="124"/>
      <c r="BC624" s="124"/>
      <c r="BD624" s="124"/>
      <c r="BE624" s="124"/>
      <c r="BF624" s="124"/>
      <c r="BG624" s="124"/>
      <c r="BH624" s="124"/>
      <c r="BI624" s="124"/>
      <c r="BJ624" s="124"/>
      <c r="BK624" s="124"/>
      <c r="BL624" s="124"/>
      <c r="BM624" s="124"/>
      <c r="BN624" s="124"/>
      <c r="BO624" s="124"/>
      <c r="BP624" s="124"/>
    </row>
    <row r="625" spans="1:68" x14ac:dyDescent="0.25">
      <c r="A625" s="104">
        <v>1</v>
      </c>
      <c r="B625" s="109" t="s">
        <v>275</v>
      </c>
      <c r="C625" s="489" t="s">
        <v>363</v>
      </c>
      <c r="D625" s="26" t="s">
        <v>87</v>
      </c>
      <c r="E625" s="142"/>
      <c r="F625" s="29">
        <f>F624</f>
        <v>1005</v>
      </c>
      <c r="G625" s="143">
        <f>I625/F625</f>
        <v>7.5771144278606961</v>
      </c>
      <c r="H625" s="29">
        <f t="shared" ref="H625:I625" si="15">H624</f>
        <v>32</v>
      </c>
      <c r="I625" s="29">
        <f t="shared" si="15"/>
        <v>7615</v>
      </c>
    </row>
    <row r="626" spans="1:68" ht="15.75" thickBot="1" x14ac:dyDescent="0.3">
      <c r="A626" s="104">
        <v>1</v>
      </c>
      <c r="B626" s="109" t="s">
        <v>275</v>
      </c>
      <c r="C626" s="489" t="s">
        <v>363</v>
      </c>
      <c r="D626" s="644" t="s">
        <v>220</v>
      </c>
      <c r="E626" s="645"/>
      <c r="F626" s="645"/>
      <c r="G626" s="645"/>
      <c r="H626" s="645"/>
      <c r="I626" s="645"/>
      <c r="J626" s="124"/>
      <c r="K626" s="124"/>
      <c r="L626" s="124"/>
      <c r="M626" s="124"/>
      <c r="N626" s="124"/>
      <c r="O626" s="124"/>
      <c r="P626" s="124"/>
      <c r="Q626" s="124"/>
      <c r="R626" s="124"/>
      <c r="S626" s="124"/>
      <c r="T626" s="124"/>
      <c r="U626" s="124"/>
      <c r="V626" s="124"/>
      <c r="W626" s="124"/>
      <c r="X626" s="124"/>
      <c r="Y626" s="124"/>
      <c r="Z626" s="124"/>
      <c r="AA626" s="124"/>
      <c r="AB626" s="124"/>
      <c r="AC626" s="124"/>
      <c r="AD626" s="124"/>
      <c r="AE626" s="124"/>
      <c r="AF626" s="124"/>
      <c r="AG626" s="124"/>
      <c r="AH626" s="124"/>
      <c r="AI626" s="124"/>
      <c r="AJ626" s="124"/>
      <c r="AK626" s="124"/>
      <c r="AL626" s="124"/>
      <c r="AM626" s="124"/>
      <c r="AN626" s="124"/>
      <c r="AO626" s="124"/>
      <c r="AP626" s="124"/>
      <c r="AQ626" s="124"/>
      <c r="AR626" s="124"/>
      <c r="AS626" s="124"/>
      <c r="AT626" s="124"/>
      <c r="AU626" s="124"/>
      <c r="AV626" s="124"/>
      <c r="AW626" s="124"/>
      <c r="AX626" s="124"/>
      <c r="AY626" s="124"/>
      <c r="AZ626" s="124"/>
      <c r="BA626" s="124"/>
      <c r="BB626" s="124"/>
      <c r="BC626" s="124"/>
      <c r="BD626" s="124"/>
      <c r="BE626" s="124"/>
      <c r="BF626" s="124"/>
      <c r="BG626" s="124"/>
      <c r="BH626" s="124"/>
      <c r="BI626" s="124"/>
      <c r="BJ626" s="124"/>
      <c r="BK626" s="124"/>
      <c r="BL626" s="124"/>
      <c r="BM626" s="124"/>
      <c r="BN626" s="124"/>
      <c r="BO626" s="124"/>
      <c r="BP626" s="124"/>
    </row>
    <row r="627" spans="1:68" s="379" customFormat="1" hidden="1" x14ac:dyDescent="0.25">
      <c r="A627" s="104">
        <v>1</v>
      </c>
      <c r="B627" s="104"/>
      <c r="C627" s="489" t="s">
        <v>363</v>
      </c>
      <c r="D627" s="265"/>
      <c r="E627" s="654"/>
      <c r="F627" s="424"/>
      <c r="G627" s="424"/>
      <c r="H627" s="424"/>
      <c r="I627" s="424"/>
      <c r="J627" s="124"/>
      <c r="K627" s="124"/>
      <c r="L627" s="124"/>
      <c r="M627" s="124"/>
      <c r="N627" s="124"/>
      <c r="O627" s="124"/>
      <c r="P627" s="124"/>
      <c r="Q627" s="124"/>
      <c r="R627" s="124"/>
      <c r="S627" s="124"/>
      <c r="T627" s="124"/>
      <c r="U627" s="124"/>
      <c r="V627" s="124"/>
      <c r="W627" s="124"/>
      <c r="X627" s="124"/>
      <c r="Y627" s="124"/>
      <c r="Z627" s="124"/>
      <c r="AA627" s="124"/>
      <c r="AB627" s="124"/>
      <c r="AC627" s="124"/>
      <c r="AD627" s="124"/>
      <c r="AE627" s="124"/>
      <c r="AF627" s="124"/>
      <c r="AG627" s="124"/>
      <c r="AH627" s="124"/>
      <c r="AI627" s="124"/>
      <c r="AJ627" s="124"/>
      <c r="AK627" s="124"/>
      <c r="AL627" s="124"/>
      <c r="AM627" s="124"/>
      <c r="AN627" s="124"/>
      <c r="AO627" s="124"/>
      <c r="AP627" s="124"/>
      <c r="AQ627" s="124"/>
      <c r="AR627" s="124"/>
      <c r="AS627" s="124"/>
      <c r="AT627" s="124"/>
      <c r="AU627" s="124"/>
      <c r="AV627" s="124"/>
      <c r="AW627" s="124"/>
      <c r="AX627" s="124"/>
      <c r="AY627" s="124"/>
      <c r="AZ627" s="124"/>
      <c r="BA627" s="124"/>
      <c r="BB627" s="124"/>
      <c r="BC627" s="124"/>
      <c r="BD627" s="124"/>
      <c r="BE627" s="124"/>
      <c r="BF627" s="124"/>
      <c r="BG627" s="124"/>
      <c r="BH627" s="124"/>
      <c r="BI627" s="124"/>
      <c r="BJ627" s="124"/>
      <c r="BK627" s="124"/>
      <c r="BL627" s="124"/>
      <c r="BM627" s="124"/>
      <c r="BN627" s="124"/>
      <c r="BO627" s="124"/>
      <c r="BP627" s="124"/>
    </row>
    <row r="628" spans="1:68" ht="31.5" hidden="1" x14ac:dyDescent="0.25">
      <c r="A628" s="104">
        <v>1</v>
      </c>
      <c r="B628" s="109" t="s">
        <v>276</v>
      </c>
      <c r="C628" s="489" t="s">
        <v>363</v>
      </c>
      <c r="D628" s="678" t="s">
        <v>413</v>
      </c>
      <c r="E628" s="190"/>
      <c r="F628" s="2"/>
      <c r="G628" s="2"/>
      <c r="H628" s="2"/>
      <c r="I628" s="2"/>
      <c r="J628" s="124"/>
      <c r="K628" s="124"/>
      <c r="L628" s="124"/>
      <c r="M628" s="124"/>
      <c r="N628" s="124"/>
      <c r="O628" s="124"/>
      <c r="P628" s="124"/>
      <c r="Q628" s="124"/>
      <c r="R628" s="124"/>
      <c r="S628" s="124"/>
      <c r="T628" s="124"/>
      <c r="U628" s="124"/>
      <c r="V628" s="124"/>
      <c r="W628" s="124"/>
      <c r="X628" s="124"/>
      <c r="Y628" s="124"/>
      <c r="Z628" s="124"/>
      <c r="AA628" s="124"/>
      <c r="AB628" s="124"/>
      <c r="AC628" s="124"/>
      <c r="AD628" s="124"/>
      <c r="AE628" s="124"/>
      <c r="AF628" s="124"/>
      <c r="AG628" s="124"/>
      <c r="AH628" s="124"/>
      <c r="AI628" s="124"/>
      <c r="AJ628" s="124"/>
      <c r="AK628" s="124"/>
      <c r="AL628" s="124"/>
      <c r="AM628" s="124"/>
      <c r="AN628" s="124"/>
      <c r="AO628" s="124"/>
      <c r="AP628" s="124"/>
      <c r="AQ628" s="124"/>
      <c r="AR628" s="124"/>
      <c r="AS628" s="124"/>
      <c r="AT628" s="124"/>
      <c r="AU628" s="124"/>
      <c r="AV628" s="124"/>
      <c r="AW628" s="124"/>
      <c r="AX628" s="124"/>
      <c r="AY628" s="124"/>
      <c r="AZ628" s="124"/>
      <c r="BA628" s="124"/>
      <c r="BB628" s="124"/>
      <c r="BC628" s="124"/>
      <c r="BD628" s="124"/>
      <c r="BE628" s="124"/>
      <c r="BF628" s="124"/>
      <c r="BG628" s="124"/>
      <c r="BH628" s="124"/>
      <c r="BI628" s="124"/>
      <c r="BJ628" s="124"/>
      <c r="BK628" s="124"/>
      <c r="BL628" s="124"/>
      <c r="BM628" s="124"/>
      <c r="BN628" s="124"/>
      <c r="BO628" s="124"/>
      <c r="BP628" s="124"/>
    </row>
    <row r="629" spans="1:68" hidden="1" x14ac:dyDescent="0.25">
      <c r="A629" s="104">
        <v>1</v>
      </c>
      <c r="B629" s="109" t="s">
        <v>276</v>
      </c>
      <c r="C629" s="489" t="s">
        <v>363</v>
      </c>
      <c r="D629" s="12" t="s">
        <v>108</v>
      </c>
      <c r="E629" s="13"/>
      <c r="F629" s="2"/>
      <c r="G629" s="2"/>
      <c r="H629" s="2"/>
      <c r="I629" s="2"/>
      <c r="J629" s="124"/>
      <c r="K629" s="124"/>
      <c r="L629" s="124"/>
      <c r="M629" s="124"/>
      <c r="N629" s="124"/>
      <c r="O629" s="124"/>
      <c r="P629" s="124"/>
      <c r="Q629" s="124"/>
      <c r="R629" s="124"/>
      <c r="S629" s="124"/>
      <c r="T629" s="124"/>
      <c r="U629" s="124"/>
      <c r="V629" s="124"/>
      <c r="W629" s="124"/>
      <c r="X629" s="124"/>
      <c r="Y629" s="124"/>
      <c r="Z629" s="124"/>
      <c r="AA629" s="124"/>
      <c r="AB629" s="124"/>
      <c r="AC629" s="124"/>
      <c r="AD629" s="124"/>
      <c r="AE629" s="124"/>
      <c r="AF629" s="124"/>
      <c r="AG629" s="124"/>
      <c r="AH629" s="124"/>
      <c r="AI629" s="124"/>
      <c r="AJ629" s="124"/>
      <c r="AK629" s="124"/>
      <c r="AL629" s="124"/>
      <c r="AM629" s="124"/>
      <c r="AN629" s="124"/>
      <c r="AO629" s="124"/>
      <c r="AP629" s="124"/>
      <c r="AQ629" s="124"/>
      <c r="AR629" s="124"/>
      <c r="AS629" s="124"/>
      <c r="AT629" s="124"/>
      <c r="AU629" s="124"/>
      <c r="AV629" s="124"/>
      <c r="AW629" s="124"/>
      <c r="AX629" s="124"/>
      <c r="AY629" s="124"/>
      <c r="AZ629" s="124"/>
      <c r="BA629" s="124"/>
      <c r="BB629" s="124"/>
      <c r="BC629" s="124"/>
      <c r="BD629" s="124"/>
      <c r="BE629" s="124"/>
      <c r="BF629" s="124"/>
      <c r="BG629" s="124"/>
      <c r="BH629" s="124"/>
      <c r="BI629" s="124"/>
      <c r="BJ629" s="124"/>
      <c r="BK629" s="124"/>
      <c r="BL629" s="124"/>
      <c r="BM629" s="124"/>
      <c r="BN629" s="124"/>
      <c r="BO629" s="124"/>
      <c r="BP629" s="124"/>
    </row>
    <row r="630" spans="1:68" hidden="1" x14ac:dyDescent="0.25">
      <c r="B630" s="109" t="s">
        <v>276</v>
      </c>
      <c r="C630" s="489" t="s">
        <v>363</v>
      </c>
      <c r="D630" s="12" t="s">
        <v>96</v>
      </c>
      <c r="E630" s="13"/>
      <c r="F630" s="2"/>
      <c r="G630" s="2"/>
      <c r="H630" s="2"/>
      <c r="I630" s="2"/>
      <c r="J630" s="58"/>
      <c r="K630" s="124"/>
      <c r="L630" s="124"/>
      <c r="M630" s="124"/>
      <c r="N630" s="124"/>
      <c r="O630" s="124"/>
      <c r="P630" s="124"/>
      <c r="Q630" s="124"/>
      <c r="R630" s="124"/>
      <c r="S630" s="124"/>
      <c r="T630" s="124"/>
      <c r="U630" s="124"/>
      <c r="V630" s="124"/>
      <c r="W630" s="124"/>
      <c r="X630" s="124"/>
      <c r="Y630" s="124"/>
      <c r="Z630" s="124"/>
      <c r="AA630" s="124"/>
      <c r="AB630" s="124"/>
      <c r="AC630" s="124"/>
      <c r="AD630" s="124"/>
      <c r="AE630" s="124"/>
      <c r="AF630" s="124"/>
      <c r="AG630" s="124"/>
      <c r="AH630" s="124"/>
      <c r="AI630" s="124"/>
      <c r="AJ630" s="124"/>
      <c r="AK630" s="124"/>
      <c r="AL630" s="124"/>
      <c r="AM630" s="124"/>
      <c r="AN630" s="124"/>
      <c r="AO630" s="124"/>
      <c r="AP630" s="124"/>
      <c r="AQ630" s="124"/>
      <c r="AR630" s="124"/>
      <c r="AS630" s="124"/>
      <c r="AT630" s="124"/>
      <c r="AU630" s="124"/>
      <c r="AV630" s="124"/>
      <c r="AW630" s="124"/>
      <c r="AX630" s="124"/>
      <c r="AY630" s="124"/>
      <c r="AZ630" s="124"/>
      <c r="BA630" s="124"/>
      <c r="BB630" s="124"/>
      <c r="BC630" s="124"/>
      <c r="BD630" s="124"/>
      <c r="BE630" s="124"/>
      <c r="BF630" s="124"/>
      <c r="BG630" s="124"/>
      <c r="BH630" s="124"/>
      <c r="BI630" s="124"/>
      <c r="BJ630" s="124"/>
      <c r="BK630" s="124"/>
      <c r="BL630" s="124"/>
      <c r="BM630" s="124"/>
      <c r="BN630" s="124"/>
      <c r="BO630" s="124"/>
      <c r="BP630" s="124"/>
    </row>
    <row r="631" spans="1:68" hidden="1" x14ac:dyDescent="0.25">
      <c r="B631" s="109" t="s">
        <v>276</v>
      </c>
      <c r="C631" s="489" t="s">
        <v>363</v>
      </c>
      <c r="D631" s="14" t="s">
        <v>296</v>
      </c>
      <c r="E631" s="13"/>
      <c r="F631" s="2">
        <f>F632</f>
        <v>1000</v>
      </c>
      <c r="G631" s="2"/>
      <c r="H631" s="2"/>
      <c r="I631" s="2"/>
      <c r="J631" s="58"/>
      <c r="K631" s="124"/>
      <c r="L631" s="124"/>
      <c r="M631" s="124"/>
      <c r="N631" s="124"/>
      <c r="O631" s="124"/>
      <c r="P631" s="124"/>
      <c r="Q631" s="124"/>
      <c r="R631" s="124"/>
      <c r="S631" s="124"/>
      <c r="T631" s="124"/>
      <c r="U631" s="124"/>
      <c r="V631" s="124"/>
      <c r="W631" s="124"/>
      <c r="X631" s="124"/>
      <c r="Y631" s="124"/>
      <c r="Z631" s="124"/>
      <c r="AA631" s="124"/>
      <c r="AB631" s="124"/>
      <c r="AC631" s="124"/>
      <c r="AD631" s="124"/>
      <c r="AE631" s="124"/>
      <c r="AF631" s="124"/>
      <c r="AG631" s="124"/>
      <c r="AH631" s="124"/>
      <c r="AI631" s="124"/>
      <c r="AJ631" s="124"/>
      <c r="AK631" s="124"/>
      <c r="AL631" s="124"/>
      <c r="AM631" s="124"/>
      <c r="AN631" s="124"/>
      <c r="AO631" s="124"/>
      <c r="AP631" s="124"/>
      <c r="AQ631" s="124"/>
      <c r="AR631" s="124"/>
      <c r="AS631" s="124"/>
      <c r="AT631" s="124"/>
      <c r="AU631" s="124"/>
      <c r="AV631" s="124"/>
      <c r="AW631" s="124"/>
      <c r="AX631" s="124"/>
      <c r="AY631" s="124"/>
      <c r="AZ631" s="124"/>
      <c r="BA631" s="124"/>
      <c r="BB631" s="124"/>
      <c r="BC631" s="124"/>
      <c r="BD631" s="124"/>
      <c r="BE631" s="124"/>
      <c r="BF631" s="124"/>
      <c r="BG631" s="124"/>
      <c r="BH631" s="124"/>
      <c r="BI631" s="124"/>
      <c r="BJ631" s="124"/>
      <c r="BK631" s="124"/>
      <c r="BL631" s="124"/>
      <c r="BM631" s="124"/>
      <c r="BN631" s="124"/>
      <c r="BO631" s="124"/>
      <c r="BP631" s="124"/>
    </row>
    <row r="632" spans="1:68" ht="30" hidden="1" x14ac:dyDescent="0.25">
      <c r="B632" s="109" t="s">
        <v>276</v>
      </c>
      <c r="C632" s="489" t="s">
        <v>363</v>
      </c>
      <c r="D632" s="266" t="s">
        <v>298</v>
      </c>
      <c r="E632" s="13"/>
      <c r="F632" s="2">
        <f>F633/4</f>
        <v>1000</v>
      </c>
      <c r="G632" s="2"/>
      <c r="H632" s="2"/>
      <c r="I632" s="2"/>
      <c r="J632" s="58"/>
      <c r="K632" s="124"/>
      <c r="L632" s="124"/>
      <c r="M632" s="124"/>
      <c r="N632" s="124"/>
      <c r="O632" s="124"/>
      <c r="P632" s="124"/>
      <c r="Q632" s="124"/>
      <c r="R632" s="124"/>
      <c r="S632" s="124"/>
      <c r="T632" s="124"/>
      <c r="U632" s="124"/>
      <c r="V632" s="124"/>
      <c r="W632" s="124"/>
      <c r="X632" s="124"/>
      <c r="Y632" s="124"/>
      <c r="Z632" s="124"/>
      <c r="AA632" s="124"/>
      <c r="AB632" s="124"/>
      <c r="AC632" s="124"/>
      <c r="AD632" s="124"/>
      <c r="AE632" s="124"/>
      <c r="AF632" s="124"/>
      <c r="AG632" s="124"/>
      <c r="AH632" s="124"/>
      <c r="AI632" s="124"/>
      <c r="AJ632" s="124"/>
      <c r="AK632" s="124"/>
      <c r="AL632" s="124"/>
      <c r="AM632" s="124"/>
      <c r="AN632" s="124"/>
      <c r="AO632" s="124"/>
      <c r="AP632" s="124"/>
      <c r="AQ632" s="124"/>
      <c r="AR632" s="124"/>
      <c r="AS632" s="124"/>
      <c r="AT632" s="124"/>
      <c r="AU632" s="124"/>
      <c r="AV632" s="124"/>
      <c r="AW632" s="124"/>
      <c r="AX632" s="124"/>
      <c r="AY632" s="124"/>
      <c r="AZ632" s="124"/>
      <c r="BA632" s="124"/>
      <c r="BB632" s="124"/>
      <c r="BC632" s="124"/>
      <c r="BD632" s="124"/>
      <c r="BE632" s="124"/>
      <c r="BF632" s="124"/>
      <c r="BG632" s="124"/>
      <c r="BH632" s="124"/>
      <c r="BI632" s="124"/>
      <c r="BJ632" s="124"/>
      <c r="BK632" s="124"/>
      <c r="BL632" s="124"/>
      <c r="BM632" s="124"/>
      <c r="BN632" s="124"/>
      <c r="BO632" s="124"/>
      <c r="BP632" s="124"/>
    </row>
    <row r="633" spans="1:68" ht="30" hidden="1" x14ac:dyDescent="0.25">
      <c r="B633" s="109" t="s">
        <v>276</v>
      </c>
      <c r="C633" s="489" t="s">
        <v>363</v>
      </c>
      <c r="D633" s="15" t="s">
        <v>300</v>
      </c>
      <c r="E633" s="13"/>
      <c r="F633" s="2">
        <v>4000</v>
      </c>
      <c r="G633" s="2"/>
      <c r="H633" s="2"/>
      <c r="I633" s="2"/>
      <c r="J633" s="58"/>
      <c r="K633" s="124"/>
      <c r="L633" s="124"/>
      <c r="M633" s="124"/>
      <c r="N633" s="124"/>
      <c r="O633" s="124"/>
      <c r="P633" s="124"/>
      <c r="Q633" s="124"/>
      <c r="R633" s="124"/>
      <c r="S633" s="124"/>
      <c r="T633" s="124"/>
      <c r="U633" s="124"/>
      <c r="V633" s="124"/>
      <c r="W633" s="124"/>
      <c r="X633" s="124"/>
      <c r="Y633" s="124"/>
      <c r="Z633" s="124"/>
      <c r="AA633" s="124"/>
      <c r="AB633" s="124"/>
      <c r="AC633" s="124"/>
      <c r="AD633" s="124"/>
      <c r="AE633" s="124"/>
      <c r="AF633" s="124"/>
      <c r="AG633" s="124"/>
      <c r="AH633" s="124"/>
      <c r="AI633" s="124"/>
      <c r="AJ633" s="124"/>
      <c r="AK633" s="124"/>
      <c r="AL633" s="124"/>
      <c r="AM633" s="124"/>
      <c r="AN633" s="124"/>
      <c r="AO633" s="124"/>
      <c r="AP633" s="124"/>
      <c r="AQ633" s="124"/>
      <c r="AR633" s="124"/>
      <c r="AS633" s="124"/>
      <c r="AT633" s="124"/>
      <c r="AU633" s="124"/>
      <c r="AV633" s="124"/>
      <c r="AW633" s="124"/>
      <c r="AX633" s="124"/>
      <c r="AY633" s="124"/>
      <c r="AZ633" s="124"/>
      <c r="BA633" s="124"/>
      <c r="BB633" s="124"/>
      <c r="BC633" s="124"/>
      <c r="BD633" s="124"/>
      <c r="BE633" s="124"/>
      <c r="BF633" s="124"/>
      <c r="BG633" s="124"/>
      <c r="BH633" s="124"/>
      <c r="BI633" s="124"/>
      <c r="BJ633" s="124"/>
      <c r="BK633" s="124"/>
      <c r="BL633" s="124"/>
      <c r="BM633" s="124"/>
      <c r="BN633" s="124"/>
      <c r="BO633" s="124"/>
      <c r="BP633" s="124"/>
    </row>
    <row r="634" spans="1:68" hidden="1" x14ac:dyDescent="0.25">
      <c r="B634" s="109" t="s">
        <v>276</v>
      </c>
      <c r="C634" s="489" t="s">
        <v>363</v>
      </c>
      <c r="D634" s="14" t="s">
        <v>303</v>
      </c>
      <c r="E634" s="13"/>
      <c r="F634" s="2">
        <f>F636/9.4</f>
        <v>29095.744680851061</v>
      </c>
      <c r="G634" s="2"/>
      <c r="H634" s="2"/>
      <c r="I634" s="2"/>
      <c r="J634" s="58"/>
      <c r="K634" s="124"/>
      <c r="L634" s="124"/>
      <c r="M634" s="124"/>
      <c r="N634" s="124"/>
      <c r="O634" s="124"/>
      <c r="P634" s="124"/>
      <c r="Q634" s="124"/>
      <c r="R634" s="124"/>
      <c r="S634" s="124"/>
      <c r="T634" s="124"/>
      <c r="U634" s="124"/>
      <c r="V634" s="124"/>
      <c r="W634" s="124"/>
      <c r="X634" s="124"/>
      <c r="Y634" s="124"/>
      <c r="Z634" s="124"/>
      <c r="AA634" s="124"/>
      <c r="AB634" s="124"/>
      <c r="AC634" s="124"/>
      <c r="AD634" s="124"/>
      <c r="AE634" s="124"/>
      <c r="AF634" s="124"/>
      <c r="AG634" s="124"/>
      <c r="AH634" s="124"/>
      <c r="AI634" s="124"/>
      <c r="AJ634" s="124"/>
      <c r="AK634" s="124"/>
      <c r="AL634" s="124"/>
      <c r="AM634" s="124"/>
      <c r="AN634" s="124"/>
      <c r="AO634" s="124"/>
      <c r="AP634" s="124"/>
      <c r="AQ634" s="124"/>
      <c r="AR634" s="124"/>
      <c r="AS634" s="124"/>
      <c r="AT634" s="124"/>
      <c r="AU634" s="124"/>
      <c r="AV634" s="124"/>
      <c r="AW634" s="124"/>
      <c r="AX634" s="124"/>
      <c r="AY634" s="124"/>
      <c r="AZ634" s="124"/>
      <c r="BA634" s="124"/>
      <c r="BB634" s="124"/>
      <c r="BC634" s="124"/>
      <c r="BD634" s="124"/>
      <c r="BE634" s="124"/>
      <c r="BF634" s="124"/>
      <c r="BG634" s="124"/>
      <c r="BH634" s="124"/>
      <c r="BI634" s="124"/>
      <c r="BJ634" s="124"/>
      <c r="BK634" s="124"/>
      <c r="BL634" s="124"/>
      <c r="BM634" s="124"/>
      <c r="BN634" s="124"/>
      <c r="BO634" s="124"/>
      <c r="BP634" s="124"/>
    </row>
    <row r="635" spans="1:68" hidden="1" x14ac:dyDescent="0.25">
      <c r="B635" s="109" t="s">
        <v>276</v>
      </c>
      <c r="C635" s="489" t="s">
        <v>363</v>
      </c>
      <c r="D635" s="15" t="s">
        <v>305</v>
      </c>
      <c r="E635" s="13"/>
      <c r="F635" s="2">
        <f>F636/9.4</f>
        <v>29095.744680851061</v>
      </c>
      <c r="G635" s="2"/>
      <c r="H635" s="2"/>
      <c r="I635" s="2"/>
      <c r="J635" s="58"/>
      <c r="K635" s="124"/>
      <c r="L635" s="124"/>
      <c r="M635" s="124"/>
      <c r="N635" s="124"/>
      <c r="O635" s="124"/>
      <c r="P635" s="124"/>
      <c r="Q635" s="124"/>
      <c r="R635" s="124"/>
      <c r="S635" s="124"/>
      <c r="T635" s="124"/>
      <c r="U635" s="124"/>
      <c r="V635" s="124"/>
      <c r="W635" s="124"/>
      <c r="X635" s="124"/>
      <c r="Y635" s="124"/>
      <c r="Z635" s="124"/>
      <c r="AA635" s="124"/>
      <c r="AB635" s="124"/>
      <c r="AC635" s="124"/>
      <c r="AD635" s="124"/>
      <c r="AE635" s="124"/>
      <c r="AF635" s="124"/>
      <c r="AG635" s="124"/>
      <c r="AH635" s="124"/>
      <c r="AI635" s="124"/>
      <c r="AJ635" s="124"/>
      <c r="AK635" s="124"/>
      <c r="AL635" s="124"/>
      <c r="AM635" s="124"/>
      <c r="AN635" s="124"/>
      <c r="AO635" s="124"/>
      <c r="AP635" s="124"/>
      <c r="AQ635" s="124"/>
      <c r="AR635" s="124"/>
      <c r="AS635" s="124"/>
      <c r="AT635" s="124"/>
      <c r="AU635" s="124"/>
      <c r="AV635" s="124"/>
      <c r="AW635" s="124"/>
      <c r="AX635" s="124"/>
      <c r="AY635" s="124"/>
      <c r="AZ635" s="124"/>
      <c r="BA635" s="124"/>
      <c r="BB635" s="124"/>
      <c r="BC635" s="124"/>
      <c r="BD635" s="124"/>
      <c r="BE635" s="124"/>
      <c r="BF635" s="124"/>
      <c r="BG635" s="124"/>
      <c r="BH635" s="124"/>
      <c r="BI635" s="124"/>
      <c r="BJ635" s="124"/>
      <c r="BK635" s="124"/>
      <c r="BL635" s="124"/>
      <c r="BM635" s="124"/>
      <c r="BN635" s="124"/>
      <c r="BO635" s="124"/>
      <c r="BP635" s="124"/>
    </row>
    <row r="636" spans="1:68" hidden="1" x14ac:dyDescent="0.25">
      <c r="A636" s="104">
        <v>1</v>
      </c>
      <c r="B636" s="109" t="s">
        <v>276</v>
      </c>
      <c r="C636" s="489" t="s">
        <v>363</v>
      </c>
      <c r="D636" s="42" t="s">
        <v>314</v>
      </c>
      <c r="E636" s="13"/>
      <c r="F636" s="2">
        <v>273500</v>
      </c>
      <c r="G636" s="2"/>
      <c r="H636" s="2"/>
      <c r="I636" s="2"/>
      <c r="J636" s="58"/>
      <c r="K636" s="124"/>
      <c r="L636" s="124"/>
      <c r="M636" s="124"/>
      <c r="N636" s="124"/>
      <c r="O636" s="124"/>
      <c r="P636" s="124"/>
      <c r="Q636" s="124"/>
      <c r="R636" s="124"/>
      <c r="S636" s="124"/>
      <c r="T636" s="124"/>
      <c r="U636" s="124"/>
      <c r="V636" s="124"/>
      <c r="W636" s="124"/>
      <c r="X636" s="124"/>
      <c r="Y636" s="124"/>
      <c r="Z636" s="124"/>
      <c r="AA636" s="124"/>
      <c r="AB636" s="124"/>
      <c r="AC636" s="124"/>
      <c r="AD636" s="124"/>
      <c r="AE636" s="124"/>
      <c r="AF636" s="124"/>
      <c r="AG636" s="124"/>
      <c r="AH636" s="124"/>
      <c r="AI636" s="124"/>
      <c r="AJ636" s="124"/>
      <c r="AK636" s="124"/>
      <c r="AL636" s="124"/>
      <c r="AM636" s="124"/>
      <c r="AN636" s="124"/>
      <c r="AO636" s="124"/>
      <c r="AP636" s="124"/>
      <c r="AQ636" s="124"/>
      <c r="AR636" s="124"/>
      <c r="AS636" s="124"/>
      <c r="AT636" s="124"/>
      <c r="AU636" s="124"/>
      <c r="AV636" s="124"/>
      <c r="AW636" s="124"/>
      <c r="AX636" s="124"/>
      <c r="AY636" s="124"/>
      <c r="AZ636" s="124"/>
      <c r="BA636" s="124"/>
      <c r="BB636" s="124"/>
      <c r="BC636" s="124"/>
      <c r="BD636" s="124"/>
      <c r="BE636" s="124"/>
      <c r="BF636" s="124"/>
      <c r="BG636" s="124"/>
      <c r="BH636" s="124"/>
      <c r="BI636" s="124"/>
      <c r="BJ636" s="124"/>
      <c r="BK636" s="124"/>
      <c r="BL636" s="124"/>
      <c r="BM636" s="124"/>
      <c r="BN636" s="124"/>
      <c r="BO636" s="124"/>
      <c r="BP636" s="124"/>
    </row>
    <row r="637" spans="1:68" hidden="1" x14ac:dyDescent="0.25">
      <c r="A637" s="104">
        <v>1</v>
      </c>
      <c r="B637" s="109" t="s">
        <v>276</v>
      </c>
      <c r="C637" s="489" t="s">
        <v>363</v>
      </c>
      <c r="D637" s="42" t="s">
        <v>317</v>
      </c>
      <c r="E637" s="24"/>
      <c r="F637" s="2"/>
      <c r="G637" s="24"/>
      <c r="H637" s="24"/>
      <c r="I637" s="24"/>
      <c r="J637" s="58"/>
      <c r="K637" s="124"/>
      <c r="L637" s="124"/>
      <c r="M637" s="124"/>
      <c r="N637" s="124"/>
      <c r="O637" s="124"/>
      <c r="P637" s="124"/>
      <c r="Q637" s="124"/>
      <c r="R637" s="124"/>
      <c r="S637" s="124"/>
      <c r="T637" s="124"/>
      <c r="U637" s="124"/>
      <c r="V637" s="124"/>
      <c r="W637" s="124"/>
      <c r="X637" s="124"/>
      <c r="Y637" s="124"/>
      <c r="Z637" s="124"/>
      <c r="AA637" s="124"/>
      <c r="AB637" s="124"/>
      <c r="AC637" s="124"/>
      <c r="AD637" s="124"/>
      <c r="AE637" s="124"/>
      <c r="AF637" s="124"/>
      <c r="AG637" s="124"/>
      <c r="AH637" s="124"/>
      <c r="AI637" s="124"/>
      <c r="AJ637" s="124"/>
      <c r="AK637" s="124"/>
      <c r="AL637" s="124"/>
      <c r="AM637" s="124"/>
      <c r="AN637" s="124"/>
      <c r="AO637" s="124"/>
      <c r="AP637" s="124"/>
      <c r="AQ637" s="124"/>
      <c r="AR637" s="124"/>
      <c r="AS637" s="124"/>
      <c r="AT637" s="124"/>
      <c r="AU637" s="124"/>
      <c r="AV637" s="124"/>
      <c r="AW637" s="124"/>
      <c r="AX637" s="124"/>
      <c r="AY637" s="124"/>
      <c r="AZ637" s="124"/>
      <c r="BA637" s="124"/>
      <c r="BB637" s="124"/>
      <c r="BC637" s="124"/>
      <c r="BD637" s="124"/>
      <c r="BE637" s="124"/>
      <c r="BF637" s="124"/>
      <c r="BG637" s="124"/>
      <c r="BH637" s="124"/>
      <c r="BI637" s="124"/>
      <c r="BJ637" s="124"/>
      <c r="BK637" s="124"/>
      <c r="BL637" s="124"/>
      <c r="BM637" s="124"/>
      <c r="BN637" s="124"/>
      <c r="BO637" s="124"/>
      <c r="BP637" s="124"/>
    </row>
    <row r="638" spans="1:68" hidden="1" x14ac:dyDescent="0.25">
      <c r="A638" s="104">
        <v>1</v>
      </c>
      <c r="B638" s="109" t="s">
        <v>276</v>
      </c>
      <c r="C638" s="489" t="s">
        <v>363</v>
      </c>
      <c r="D638" s="21" t="s">
        <v>198</v>
      </c>
      <c r="E638" s="13"/>
      <c r="F638" s="29">
        <f>F631</f>
        <v>1000</v>
      </c>
      <c r="G638" s="2"/>
      <c r="H638" s="2"/>
      <c r="I638" s="2"/>
      <c r="J638" s="58"/>
      <c r="K638" s="124"/>
      <c r="L638" s="124"/>
      <c r="M638" s="124"/>
      <c r="N638" s="124"/>
      <c r="O638" s="124"/>
      <c r="P638" s="124"/>
      <c r="Q638" s="124"/>
      <c r="R638" s="124"/>
      <c r="S638" s="124"/>
      <c r="T638" s="124"/>
      <c r="U638" s="124"/>
      <c r="V638" s="124"/>
      <c r="W638" s="124"/>
      <c r="X638" s="124"/>
      <c r="Y638" s="124"/>
      <c r="Z638" s="124"/>
      <c r="AA638" s="124"/>
      <c r="AB638" s="124"/>
      <c r="AC638" s="124"/>
      <c r="AD638" s="124"/>
      <c r="AE638" s="124"/>
      <c r="AF638" s="124"/>
      <c r="AG638" s="124"/>
      <c r="AH638" s="124"/>
      <c r="AI638" s="124"/>
      <c r="AJ638" s="124"/>
      <c r="AK638" s="124"/>
      <c r="AL638" s="124"/>
      <c r="AM638" s="124"/>
      <c r="AN638" s="124"/>
      <c r="AO638" s="124"/>
      <c r="AP638" s="124"/>
      <c r="AQ638" s="124"/>
      <c r="AR638" s="124"/>
      <c r="AS638" s="124"/>
      <c r="AT638" s="124"/>
      <c r="AU638" s="124"/>
      <c r="AV638" s="124"/>
      <c r="AW638" s="124"/>
      <c r="AX638" s="124"/>
      <c r="AY638" s="124"/>
      <c r="AZ638" s="124"/>
      <c r="BA638" s="124"/>
      <c r="BB638" s="124"/>
      <c r="BC638" s="124"/>
      <c r="BD638" s="124"/>
      <c r="BE638" s="124"/>
      <c r="BF638" s="124"/>
      <c r="BG638" s="124"/>
      <c r="BH638" s="124"/>
      <c r="BI638" s="124"/>
      <c r="BJ638" s="124"/>
      <c r="BK638" s="124"/>
      <c r="BL638" s="124"/>
      <c r="BM638" s="124"/>
      <c r="BN638" s="124"/>
      <c r="BO638" s="124"/>
      <c r="BP638" s="124"/>
    </row>
    <row r="639" spans="1:68" hidden="1" x14ac:dyDescent="0.25">
      <c r="A639" s="104">
        <v>1</v>
      </c>
      <c r="B639" s="109" t="s">
        <v>276</v>
      </c>
      <c r="C639" s="489" t="s">
        <v>363</v>
      </c>
      <c r="D639" s="21" t="s">
        <v>200</v>
      </c>
      <c r="E639" s="13"/>
      <c r="F639" s="29">
        <f>F634</f>
        <v>29095.744680851061</v>
      </c>
      <c r="G639" s="2"/>
      <c r="H639" s="2"/>
      <c r="I639" s="2"/>
      <c r="J639" s="58"/>
      <c r="K639" s="124"/>
      <c r="L639" s="124"/>
      <c r="M639" s="124"/>
      <c r="N639" s="124"/>
      <c r="O639" s="124"/>
      <c r="P639" s="124"/>
      <c r="Q639" s="124"/>
      <c r="R639" s="124"/>
      <c r="S639" s="124"/>
      <c r="T639" s="124"/>
      <c r="U639" s="124"/>
      <c r="V639" s="124"/>
      <c r="W639" s="124"/>
      <c r="X639" s="124"/>
      <c r="Y639" s="124"/>
      <c r="Z639" s="124"/>
      <c r="AA639" s="124"/>
      <c r="AB639" s="124"/>
      <c r="AC639" s="124"/>
      <c r="AD639" s="124"/>
      <c r="AE639" s="124"/>
      <c r="AF639" s="124"/>
      <c r="AG639" s="124"/>
      <c r="AH639" s="124"/>
      <c r="AI639" s="124"/>
      <c r="AJ639" s="124"/>
      <c r="AK639" s="124"/>
      <c r="AL639" s="124"/>
      <c r="AM639" s="124"/>
      <c r="AN639" s="124"/>
      <c r="AO639" s="124"/>
      <c r="AP639" s="124"/>
      <c r="AQ639" s="124"/>
      <c r="AR639" s="124"/>
      <c r="AS639" s="124"/>
      <c r="AT639" s="124"/>
      <c r="AU639" s="124"/>
      <c r="AV639" s="124"/>
      <c r="AW639" s="124"/>
      <c r="AX639" s="124"/>
      <c r="AY639" s="124"/>
      <c r="AZ639" s="124"/>
      <c r="BA639" s="124"/>
      <c r="BB639" s="124"/>
      <c r="BC639" s="124"/>
      <c r="BD639" s="124"/>
      <c r="BE639" s="124"/>
      <c r="BF639" s="124"/>
      <c r="BG639" s="124"/>
      <c r="BH639" s="124"/>
      <c r="BI639" s="124"/>
      <c r="BJ639" s="124"/>
      <c r="BK639" s="124"/>
      <c r="BL639" s="124"/>
      <c r="BM639" s="124"/>
      <c r="BN639" s="124"/>
      <c r="BO639" s="124"/>
      <c r="BP639" s="124"/>
    </row>
    <row r="640" spans="1:68" hidden="1" x14ac:dyDescent="0.25">
      <c r="A640" s="104">
        <v>1</v>
      </c>
      <c r="B640" s="109" t="s">
        <v>276</v>
      </c>
      <c r="C640" s="489" t="s">
        <v>363</v>
      </c>
      <c r="D640" s="22" t="s">
        <v>109</v>
      </c>
      <c r="E640" s="13"/>
      <c r="F640" s="29">
        <f>F638+F636/4.2</f>
        <v>66119.047619047618</v>
      </c>
      <c r="G640" s="2"/>
      <c r="H640" s="2"/>
      <c r="I640" s="2"/>
      <c r="J640" s="58"/>
      <c r="K640" s="124"/>
      <c r="L640" s="124"/>
      <c r="M640" s="124"/>
      <c r="N640" s="124"/>
      <c r="O640" s="124"/>
      <c r="P640" s="124"/>
      <c r="Q640" s="124"/>
      <c r="R640" s="124"/>
      <c r="S640" s="124"/>
      <c r="T640" s="124"/>
      <c r="U640" s="124"/>
      <c r="V640" s="124"/>
      <c r="W640" s="124"/>
      <c r="X640" s="124"/>
      <c r="Y640" s="124"/>
      <c r="Z640" s="124"/>
      <c r="AA640" s="124"/>
      <c r="AB640" s="124"/>
      <c r="AC640" s="124"/>
      <c r="AD640" s="124"/>
      <c r="AE640" s="124"/>
      <c r="AF640" s="124"/>
      <c r="AG640" s="124"/>
      <c r="AH640" s="124"/>
      <c r="AI640" s="124"/>
      <c r="AJ640" s="124"/>
      <c r="AK640" s="124"/>
      <c r="AL640" s="124"/>
      <c r="AM640" s="124"/>
      <c r="AN640" s="124"/>
      <c r="AO640" s="124"/>
      <c r="AP640" s="124"/>
      <c r="AQ640" s="124"/>
      <c r="AR640" s="124"/>
      <c r="AS640" s="124"/>
      <c r="AT640" s="124"/>
      <c r="AU640" s="124"/>
      <c r="AV640" s="124"/>
      <c r="AW640" s="124"/>
      <c r="AX640" s="124"/>
      <c r="AY640" s="124"/>
      <c r="AZ640" s="124"/>
      <c r="BA640" s="124"/>
      <c r="BB640" s="124"/>
      <c r="BC640" s="124"/>
      <c r="BD640" s="124"/>
      <c r="BE640" s="124"/>
      <c r="BF640" s="124"/>
      <c r="BG640" s="124"/>
      <c r="BH640" s="124"/>
      <c r="BI640" s="124"/>
      <c r="BJ640" s="124"/>
      <c r="BK640" s="124"/>
      <c r="BL640" s="124"/>
      <c r="BM640" s="124"/>
      <c r="BN640" s="124"/>
      <c r="BO640" s="124"/>
      <c r="BP640" s="124"/>
    </row>
    <row r="641" spans="1:68" ht="15.75" hidden="1" thickBot="1" x14ac:dyDescent="0.3">
      <c r="A641" s="104">
        <v>1</v>
      </c>
      <c r="B641" s="109" t="s">
        <v>276</v>
      </c>
      <c r="C641" s="489" t="s">
        <v>363</v>
      </c>
      <c r="D641" s="644" t="s">
        <v>220</v>
      </c>
      <c r="E641" s="645"/>
      <c r="F641" s="645"/>
      <c r="G641" s="645"/>
      <c r="H641" s="645"/>
      <c r="I641" s="645"/>
      <c r="J641" s="124"/>
      <c r="K641" s="124"/>
      <c r="L641" s="124"/>
      <c r="M641" s="124"/>
      <c r="N641" s="124"/>
      <c r="O641" s="124"/>
      <c r="P641" s="124"/>
      <c r="Q641" s="124"/>
      <c r="R641" s="124"/>
      <c r="S641" s="124"/>
      <c r="T641" s="124"/>
      <c r="U641" s="124"/>
      <c r="V641" s="124"/>
      <c r="W641" s="124"/>
      <c r="X641" s="124"/>
      <c r="Y641" s="124"/>
      <c r="Z641" s="124"/>
      <c r="AA641" s="124"/>
      <c r="AB641" s="124"/>
      <c r="AC641" s="124"/>
      <c r="AD641" s="124"/>
      <c r="AE641" s="124"/>
      <c r="AF641" s="124"/>
      <c r="AG641" s="124"/>
      <c r="AH641" s="124"/>
      <c r="AI641" s="124"/>
      <c r="AJ641" s="124"/>
      <c r="AK641" s="124"/>
      <c r="AL641" s="124"/>
      <c r="AM641" s="124"/>
      <c r="AN641" s="124"/>
      <c r="AO641" s="124"/>
      <c r="AP641" s="124"/>
      <c r="AQ641" s="124"/>
      <c r="AR641" s="124"/>
      <c r="AS641" s="124"/>
      <c r="AT641" s="124"/>
      <c r="AU641" s="124"/>
      <c r="AV641" s="124"/>
      <c r="AW641" s="124"/>
      <c r="AX641" s="124"/>
      <c r="AY641" s="124"/>
      <c r="AZ641" s="124"/>
      <c r="BA641" s="124"/>
      <c r="BB641" s="124"/>
      <c r="BC641" s="124"/>
      <c r="BD641" s="124"/>
      <c r="BE641" s="124"/>
      <c r="BF641" s="124"/>
      <c r="BG641" s="124"/>
      <c r="BH641" s="124"/>
      <c r="BI641" s="124"/>
      <c r="BJ641" s="124"/>
      <c r="BK641" s="124"/>
      <c r="BL641" s="124"/>
      <c r="BM641" s="124"/>
      <c r="BN641" s="124"/>
      <c r="BO641" s="124"/>
      <c r="BP641" s="124"/>
    </row>
    <row r="642" spans="1:68" s="379" customFormat="1" hidden="1" x14ac:dyDescent="0.25">
      <c r="A642" s="104">
        <v>1</v>
      </c>
      <c r="B642" s="104"/>
      <c r="C642" s="489" t="s">
        <v>363</v>
      </c>
      <c r="D642" s="265"/>
      <c r="E642" s="654"/>
      <c r="F642" s="424"/>
      <c r="G642" s="424"/>
      <c r="H642" s="424"/>
      <c r="I642" s="424"/>
      <c r="J642" s="124"/>
      <c r="K642" s="124"/>
      <c r="L642" s="124"/>
      <c r="M642" s="124"/>
      <c r="N642" s="124"/>
      <c r="O642" s="124"/>
      <c r="P642" s="124"/>
      <c r="Q642" s="124"/>
      <c r="R642" s="124"/>
      <c r="S642" s="124"/>
      <c r="T642" s="124"/>
      <c r="U642" s="124"/>
      <c r="V642" s="124"/>
      <c r="W642" s="124"/>
      <c r="X642" s="124"/>
      <c r="Y642" s="124"/>
      <c r="Z642" s="124"/>
      <c r="AA642" s="124"/>
      <c r="AB642" s="124"/>
      <c r="AC642" s="124"/>
      <c r="AD642" s="124"/>
      <c r="AE642" s="124"/>
      <c r="AF642" s="124"/>
      <c r="AG642" s="124"/>
      <c r="AH642" s="124"/>
      <c r="AI642" s="124"/>
      <c r="AJ642" s="124"/>
      <c r="AK642" s="124"/>
      <c r="AL642" s="124"/>
      <c r="AM642" s="124"/>
      <c r="AN642" s="124"/>
      <c r="AO642" s="124"/>
      <c r="AP642" s="124"/>
      <c r="AQ642" s="124"/>
      <c r="AR642" s="124"/>
      <c r="AS642" s="124"/>
      <c r="AT642" s="124"/>
      <c r="AU642" s="124"/>
      <c r="AV642" s="124"/>
      <c r="AW642" s="124"/>
      <c r="AX642" s="124"/>
      <c r="AY642" s="124"/>
      <c r="AZ642" s="124"/>
      <c r="BA642" s="124"/>
      <c r="BB642" s="124"/>
      <c r="BC642" s="124"/>
      <c r="BD642" s="124"/>
      <c r="BE642" s="124"/>
      <c r="BF642" s="124"/>
      <c r="BG642" s="124"/>
      <c r="BH642" s="124"/>
      <c r="BI642" s="124"/>
      <c r="BJ642" s="124"/>
      <c r="BK642" s="124"/>
      <c r="BL642" s="124"/>
      <c r="BM642" s="124"/>
      <c r="BN642" s="124"/>
      <c r="BO642" s="124"/>
      <c r="BP642" s="124"/>
    </row>
    <row r="643" spans="1:68" ht="31.5" hidden="1" x14ac:dyDescent="0.25">
      <c r="A643" s="104">
        <v>1</v>
      </c>
      <c r="B643" s="109" t="s">
        <v>277</v>
      </c>
      <c r="C643" s="489" t="s">
        <v>363</v>
      </c>
      <c r="D643" s="678" t="s">
        <v>414</v>
      </c>
      <c r="E643" s="190"/>
      <c r="F643" s="2"/>
      <c r="G643" s="2"/>
      <c r="H643" s="2"/>
      <c r="I643" s="2"/>
      <c r="J643" s="124"/>
      <c r="K643" s="124"/>
      <c r="L643" s="124"/>
      <c r="M643" s="124"/>
      <c r="N643" s="124"/>
      <c r="O643" s="124"/>
      <c r="P643" s="124"/>
      <c r="Q643" s="124"/>
      <c r="R643" s="124"/>
      <c r="S643" s="124"/>
      <c r="T643" s="124"/>
      <c r="U643" s="124"/>
      <c r="V643" s="124"/>
      <c r="W643" s="124"/>
      <c r="X643" s="124"/>
      <c r="Y643" s="124"/>
      <c r="Z643" s="124"/>
      <c r="AA643" s="124"/>
      <c r="AB643" s="124"/>
      <c r="AC643" s="124"/>
      <c r="AD643" s="124"/>
      <c r="AE643" s="124"/>
      <c r="AF643" s="124"/>
      <c r="AG643" s="124"/>
      <c r="AH643" s="124"/>
      <c r="AI643" s="124"/>
      <c r="AJ643" s="124"/>
      <c r="AK643" s="124"/>
      <c r="AL643" s="124"/>
      <c r="AM643" s="124"/>
      <c r="AN643" s="124"/>
      <c r="AO643" s="124"/>
      <c r="AP643" s="124"/>
      <c r="AQ643" s="124"/>
      <c r="AR643" s="124"/>
      <c r="AS643" s="124"/>
      <c r="AT643" s="124"/>
      <c r="AU643" s="124"/>
      <c r="AV643" s="124"/>
      <c r="AW643" s="124"/>
      <c r="AX643" s="124"/>
      <c r="AY643" s="124"/>
      <c r="AZ643" s="124"/>
      <c r="BA643" s="124"/>
      <c r="BB643" s="124"/>
      <c r="BC643" s="124"/>
      <c r="BD643" s="124"/>
      <c r="BE643" s="124"/>
      <c r="BF643" s="124"/>
      <c r="BG643" s="124"/>
      <c r="BH643" s="124"/>
      <c r="BI643" s="124"/>
      <c r="BJ643" s="124"/>
      <c r="BK643" s="124"/>
      <c r="BL643" s="124"/>
      <c r="BM643" s="124"/>
      <c r="BN643" s="124"/>
      <c r="BO643" s="124"/>
      <c r="BP643" s="124"/>
    </row>
    <row r="644" spans="1:68" hidden="1" x14ac:dyDescent="0.25">
      <c r="A644" s="104">
        <v>1</v>
      </c>
      <c r="B644" s="109" t="s">
        <v>277</v>
      </c>
      <c r="C644" s="489" t="s">
        <v>363</v>
      </c>
      <c r="D644" s="12" t="s">
        <v>108</v>
      </c>
      <c r="E644" s="13"/>
      <c r="F644" s="2"/>
      <c r="G644" s="2"/>
      <c r="H644" s="2"/>
      <c r="I644" s="2"/>
      <c r="J644" s="124"/>
      <c r="K644" s="124"/>
      <c r="L644" s="124"/>
      <c r="M644" s="124"/>
      <c r="N644" s="124"/>
      <c r="O644" s="124"/>
      <c r="P644" s="124"/>
      <c r="Q644" s="124"/>
      <c r="R644" s="124"/>
      <c r="S644" s="124"/>
      <c r="T644" s="124"/>
      <c r="U644" s="124"/>
      <c r="V644" s="124"/>
      <c r="W644" s="124"/>
      <c r="X644" s="124"/>
      <c r="Y644" s="124"/>
      <c r="Z644" s="124"/>
      <c r="AA644" s="124"/>
      <c r="AB644" s="124"/>
      <c r="AC644" s="124"/>
      <c r="AD644" s="124"/>
      <c r="AE644" s="124"/>
      <c r="AF644" s="124"/>
      <c r="AG644" s="124"/>
      <c r="AH644" s="124"/>
      <c r="AI644" s="124"/>
      <c r="AJ644" s="124"/>
      <c r="AK644" s="124"/>
      <c r="AL644" s="124"/>
      <c r="AM644" s="124"/>
      <c r="AN644" s="124"/>
      <c r="AO644" s="124"/>
      <c r="AP644" s="124"/>
      <c r="AQ644" s="124"/>
      <c r="AR644" s="124"/>
      <c r="AS644" s="124"/>
      <c r="AT644" s="124"/>
      <c r="AU644" s="124"/>
      <c r="AV644" s="124"/>
      <c r="AW644" s="124"/>
      <c r="AX644" s="124"/>
      <c r="AY644" s="124"/>
      <c r="AZ644" s="124"/>
      <c r="BA644" s="124"/>
      <c r="BB644" s="124"/>
      <c r="BC644" s="124"/>
      <c r="BD644" s="124"/>
      <c r="BE644" s="124"/>
      <c r="BF644" s="124"/>
      <c r="BG644" s="124"/>
      <c r="BH644" s="124"/>
      <c r="BI644" s="124"/>
      <c r="BJ644" s="124"/>
      <c r="BK644" s="124"/>
      <c r="BL644" s="124"/>
      <c r="BM644" s="124"/>
      <c r="BN644" s="124"/>
      <c r="BO644" s="124"/>
      <c r="BP644" s="124"/>
    </row>
    <row r="645" spans="1:68" hidden="1" x14ac:dyDescent="0.25">
      <c r="B645" s="109" t="s">
        <v>277</v>
      </c>
      <c r="C645" s="489" t="s">
        <v>363</v>
      </c>
      <c r="D645" s="12" t="s">
        <v>96</v>
      </c>
      <c r="E645" s="13"/>
      <c r="F645" s="2"/>
      <c r="G645" s="2"/>
      <c r="H645" s="2"/>
      <c r="I645" s="2"/>
      <c r="J645" s="124"/>
      <c r="K645" s="124"/>
      <c r="L645" s="124"/>
      <c r="M645" s="124"/>
      <c r="N645" s="124"/>
      <c r="O645" s="124"/>
      <c r="P645" s="124"/>
      <c r="Q645" s="124"/>
      <c r="R645" s="124"/>
      <c r="S645" s="124"/>
      <c r="T645" s="124"/>
      <c r="U645" s="124"/>
      <c r="V645" s="124"/>
      <c r="W645" s="124"/>
      <c r="X645" s="124"/>
      <c r="Y645" s="124"/>
      <c r="Z645" s="124"/>
      <c r="AA645" s="124"/>
      <c r="AB645" s="124"/>
      <c r="AC645" s="124"/>
      <c r="AD645" s="124"/>
      <c r="AE645" s="124"/>
      <c r="AF645" s="124"/>
      <c r="AG645" s="124"/>
      <c r="AH645" s="124"/>
      <c r="AI645" s="124"/>
      <c r="AJ645" s="124"/>
      <c r="AK645" s="124"/>
      <c r="AL645" s="124"/>
      <c r="AM645" s="124"/>
      <c r="AN645" s="124"/>
      <c r="AO645" s="124"/>
      <c r="AP645" s="124"/>
      <c r="AQ645" s="124"/>
      <c r="AR645" s="124"/>
      <c r="AS645" s="124"/>
      <c r="AT645" s="124"/>
      <c r="AU645" s="124"/>
      <c r="AV645" s="124"/>
      <c r="AW645" s="124"/>
      <c r="AX645" s="124"/>
      <c r="AY645" s="124"/>
      <c r="AZ645" s="124"/>
      <c r="BA645" s="124"/>
      <c r="BB645" s="124"/>
      <c r="BC645" s="124"/>
      <c r="BD645" s="124"/>
      <c r="BE645" s="124"/>
      <c r="BF645" s="124"/>
      <c r="BG645" s="124"/>
      <c r="BH645" s="124"/>
      <c r="BI645" s="124"/>
      <c r="BJ645" s="124"/>
      <c r="BK645" s="124"/>
      <c r="BL645" s="124"/>
      <c r="BM645" s="124"/>
      <c r="BN645" s="124"/>
      <c r="BO645" s="124"/>
      <c r="BP645" s="124"/>
    </row>
    <row r="646" spans="1:68" hidden="1" x14ac:dyDescent="0.25">
      <c r="B646" s="109" t="s">
        <v>277</v>
      </c>
      <c r="C646" s="489" t="s">
        <v>363</v>
      </c>
      <c r="D646" s="14" t="s">
        <v>296</v>
      </c>
      <c r="E646" s="13"/>
      <c r="F646" s="2">
        <f>F647</f>
        <v>1755</v>
      </c>
      <c r="G646" s="2"/>
      <c r="H646" s="2"/>
      <c r="I646" s="2"/>
      <c r="J646" s="58"/>
      <c r="K646" s="124"/>
      <c r="L646" s="124"/>
      <c r="M646" s="124"/>
      <c r="N646" s="124"/>
      <c r="O646" s="124"/>
      <c r="P646" s="124"/>
      <c r="Q646" s="124"/>
      <c r="R646" s="124"/>
      <c r="S646" s="124"/>
      <c r="T646" s="124"/>
      <c r="U646" s="124"/>
      <c r="V646" s="124"/>
      <c r="W646" s="124"/>
      <c r="X646" s="124"/>
      <c r="Y646" s="124"/>
      <c r="Z646" s="124"/>
      <c r="AA646" s="124"/>
      <c r="AB646" s="124"/>
      <c r="AC646" s="124"/>
      <c r="AD646" s="124"/>
      <c r="AE646" s="124"/>
      <c r="AF646" s="124"/>
      <c r="AG646" s="124"/>
      <c r="AH646" s="124"/>
      <c r="AI646" s="124"/>
      <c r="AJ646" s="124"/>
      <c r="AK646" s="124"/>
      <c r="AL646" s="124"/>
      <c r="AM646" s="124"/>
      <c r="AN646" s="124"/>
      <c r="AO646" s="124"/>
      <c r="AP646" s="124"/>
      <c r="AQ646" s="124"/>
      <c r="AR646" s="124"/>
      <c r="AS646" s="124"/>
      <c r="AT646" s="124"/>
      <c r="AU646" s="124"/>
      <c r="AV646" s="124"/>
      <c r="AW646" s="124"/>
      <c r="AX646" s="124"/>
      <c r="AY646" s="124"/>
      <c r="AZ646" s="124"/>
      <c r="BA646" s="124"/>
      <c r="BB646" s="124"/>
      <c r="BC646" s="124"/>
      <c r="BD646" s="124"/>
      <c r="BE646" s="124"/>
      <c r="BF646" s="124"/>
      <c r="BG646" s="124"/>
      <c r="BH646" s="124"/>
      <c r="BI646" s="124"/>
      <c r="BJ646" s="124"/>
      <c r="BK646" s="124"/>
      <c r="BL646" s="124"/>
      <c r="BM646" s="124"/>
      <c r="BN646" s="124"/>
      <c r="BO646" s="124"/>
      <c r="BP646" s="124"/>
    </row>
    <row r="647" spans="1:68" ht="30" hidden="1" x14ac:dyDescent="0.25">
      <c r="B647" s="109" t="s">
        <v>277</v>
      </c>
      <c r="C647" s="489" t="s">
        <v>363</v>
      </c>
      <c r="D647" s="266" t="s">
        <v>298</v>
      </c>
      <c r="E647" s="13"/>
      <c r="F647" s="2">
        <f>F648/4</f>
        <v>1755</v>
      </c>
      <c r="G647" s="2"/>
      <c r="H647" s="2"/>
      <c r="I647" s="2"/>
      <c r="J647" s="58"/>
      <c r="K647" s="124"/>
      <c r="L647" s="124"/>
      <c r="M647" s="124"/>
      <c r="N647" s="124"/>
      <c r="O647" s="124"/>
      <c r="P647" s="124"/>
      <c r="Q647" s="124"/>
      <c r="R647" s="124"/>
      <c r="S647" s="124"/>
      <c r="T647" s="124"/>
      <c r="U647" s="124"/>
      <c r="V647" s="124"/>
      <c r="W647" s="124"/>
      <c r="X647" s="124"/>
      <c r="Y647" s="124"/>
      <c r="Z647" s="124"/>
      <c r="AA647" s="124"/>
      <c r="AB647" s="124"/>
      <c r="AC647" s="124"/>
      <c r="AD647" s="124"/>
      <c r="AE647" s="124"/>
      <c r="AF647" s="124"/>
      <c r="AG647" s="124"/>
      <c r="AH647" s="124"/>
      <c r="AI647" s="124"/>
      <c r="AJ647" s="124"/>
      <c r="AK647" s="124"/>
      <c r="AL647" s="124"/>
      <c r="AM647" s="124"/>
      <c r="AN647" s="124"/>
      <c r="AO647" s="124"/>
      <c r="AP647" s="124"/>
      <c r="AQ647" s="124"/>
      <c r="AR647" s="124"/>
      <c r="AS647" s="124"/>
      <c r="AT647" s="124"/>
      <c r="AU647" s="124"/>
      <c r="AV647" s="124"/>
      <c r="AW647" s="124"/>
      <c r="AX647" s="124"/>
      <c r="AY647" s="124"/>
      <c r="AZ647" s="124"/>
      <c r="BA647" s="124"/>
      <c r="BB647" s="124"/>
      <c r="BC647" s="124"/>
      <c r="BD647" s="124"/>
      <c r="BE647" s="124"/>
      <c r="BF647" s="124"/>
      <c r="BG647" s="124"/>
      <c r="BH647" s="124"/>
      <c r="BI647" s="124"/>
      <c r="BJ647" s="124"/>
      <c r="BK647" s="124"/>
      <c r="BL647" s="124"/>
      <c r="BM647" s="124"/>
      <c r="BN647" s="124"/>
      <c r="BO647" s="124"/>
      <c r="BP647" s="124"/>
    </row>
    <row r="648" spans="1:68" ht="30" hidden="1" x14ac:dyDescent="0.25">
      <c r="B648" s="109" t="s">
        <v>277</v>
      </c>
      <c r="C648" s="489" t="s">
        <v>363</v>
      </c>
      <c r="D648" s="15" t="s">
        <v>300</v>
      </c>
      <c r="E648" s="13"/>
      <c r="F648" s="2">
        <v>7020</v>
      </c>
      <c r="G648" s="2"/>
      <c r="H648" s="2"/>
      <c r="I648" s="2"/>
      <c r="J648" s="58"/>
      <c r="K648" s="124"/>
      <c r="L648" s="124"/>
      <c r="M648" s="124"/>
      <c r="N648" s="124"/>
      <c r="O648" s="124"/>
      <c r="P648" s="124"/>
      <c r="Q648" s="124"/>
      <c r="R648" s="124"/>
      <c r="S648" s="124"/>
      <c r="T648" s="124"/>
      <c r="U648" s="124"/>
      <c r="V648" s="124"/>
      <c r="W648" s="124"/>
      <c r="X648" s="124"/>
      <c r="Y648" s="124"/>
      <c r="Z648" s="124"/>
      <c r="AA648" s="124"/>
      <c r="AB648" s="124"/>
      <c r="AC648" s="124"/>
      <c r="AD648" s="124"/>
      <c r="AE648" s="124"/>
      <c r="AF648" s="124"/>
      <c r="AG648" s="124"/>
      <c r="AH648" s="124"/>
      <c r="AI648" s="124"/>
      <c r="AJ648" s="124"/>
      <c r="AK648" s="124"/>
      <c r="AL648" s="124"/>
      <c r="AM648" s="124"/>
      <c r="AN648" s="124"/>
      <c r="AO648" s="124"/>
      <c r="AP648" s="124"/>
      <c r="AQ648" s="124"/>
      <c r="AR648" s="124"/>
      <c r="AS648" s="124"/>
      <c r="AT648" s="124"/>
      <c r="AU648" s="124"/>
      <c r="AV648" s="124"/>
      <c r="AW648" s="124"/>
      <c r="AX648" s="124"/>
      <c r="AY648" s="124"/>
      <c r="AZ648" s="124"/>
      <c r="BA648" s="124"/>
      <c r="BB648" s="124"/>
      <c r="BC648" s="124"/>
      <c r="BD648" s="124"/>
      <c r="BE648" s="124"/>
      <c r="BF648" s="124"/>
      <c r="BG648" s="124"/>
      <c r="BH648" s="124"/>
      <c r="BI648" s="124"/>
      <c r="BJ648" s="124"/>
      <c r="BK648" s="124"/>
      <c r="BL648" s="124"/>
      <c r="BM648" s="124"/>
      <c r="BN648" s="124"/>
      <c r="BO648" s="124"/>
      <c r="BP648" s="124"/>
    </row>
    <row r="649" spans="1:68" hidden="1" x14ac:dyDescent="0.25">
      <c r="B649" s="109" t="s">
        <v>277</v>
      </c>
      <c r="C649" s="489" t="s">
        <v>363</v>
      </c>
      <c r="D649" s="14" t="s">
        <v>303</v>
      </c>
      <c r="E649" s="13"/>
      <c r="F649" s="2">
        <f>F651/9.4+F652/9.4</f>
        <v>21725</v>
      </c>
      <c r="G649" s="2"/>
      <c r="H649" s="2"/>
      <c r="I649" s="2"/>
      <c r="J649" s="58"/>
      <c r="K649" s="124"/>
      <c r="L649" s="124"/>
      <c r="M649" s="124"/>
      <c r="N649" s="124"/>
      <c r="O649" s="124"/>
      <c r="P649" s="124"/>
      <c r="Q649" s="124"/>
      <c r="R649" s="124"/>
      <c r="S649" s="124"/>
      <c r="T649" s="124"/>
      <c r="U649" s="124"/>
      <c r="V649" s="124"/>
      <c r="W649" s="124"/>
      <c r="X649" s="124"/>
      <c r="Y649" s="124"/>
      <c r="Z649" s="124"/>
      <c r="AA649" s="124"/>
      <c r="AB649" s="124"/>
      <c r="AC649" s="124"/>
      <c r="AD649" s="124"/>
      <c r="AE649" s="124"/>
      <c r="AF649" s="124"/>
      <c r="AG649" s="124"/>
      <c r="AH649" s="124"/>
      <c r="AI649" s="124"/>
      <c r="AJ649" s="124"/>
      <c r="AK649" s="124"/>
      <c r="AL649" s="124"/>
      <c r="AM649" s="124"/>
      <c r="AN649" s="124"/>
      <c r="AO649" s="124"/>
      <c r="AP649" s="124"/>
      <c r="AQ649" s="124"/>
      <c r="AR649" s="124"/>
      <c r="AS649" s="124"/>
      <c r="AT649" s="124"/>
      <c r="AU649" s="124"/>
      <c r="AV649" s="124"/>
      <c r="AW649" s="124"/>
      <c r="AX649" s="124"/>
      <c r="AY649" s="124"/>
      <c r="AZ649" s="124"/>
      <c r="BA649" s="124"/>
      <c r="BB649" s="124"/>
      <c r="BC649" s="124"/>
      <c r="BD649" s="124"/>
      <c r="BE649" s="124"/>
      <c r="BF649" s="124"/>
      <c r="BG649" s="124"/>
      <c r="BH649" s="124"/>
      <c r="BI649" s="124"/>
      <c r="BJ649" s="124"/>
      <c r="BK649" s="124"/>
      <c r="BL649" s="124"/>
      <c r="BM649" s="124"/>
      <c r="BN649" s="124"/>
      <c r="BO649" s="124"/>
      <c r="BP649" s="124"/>
    </row>
    <row r="650" spans="1:68" hidden="1" x14ac:dyDescent="0.25">
      <c r="B650" s="109" t="s">
        <v>277</v>
      </c>
      <c r="C650" s="489" t="s">
        <v>363</v>
      </c>
      <c r="D650" s="15" t="s">
        <v>305</v>
      </c>
      <c r="E650" s="13"/>
      <c r="F650" s="2">
        <f>F651/9.4+F652/9.4</f>
        <v>21725</v>
      </c>
      <c r="G650" s="2"/>
      <c r="H650" s="2"/>
      <c r="I650" s="2"/>
      <c r="J650" s="58"/>
      <c r="K650" s="124"/>
      <c r="L650" s="124"/>
      <c r="M650" s="124"/>
      <c r="N650" s="124"/>
      <c r="O650" s="124"/>
      <c r="P650" s="124"/>
      <c r="Q650" s="124"/>
      <c r="R650" s="124"/>
      <c r="S650" s="124"/>
      <c r="T650" s="124"/>
      <c r="U650" s="124"/>
      <c r="V650" s="124"/>
      <c r="W650" s="124"/>
      <c r="X650" s="124"/>
      <c r="Y650" s="124"/>
      <c r="Z650" s="124"/>
      <c r="AA650" s="124"/>
      <c r="AB650" s="124"/>
      <c r="AC650" s="124"/>
      <c r="AD650" s="124"/>
      <c r="AE650" s="124"/>
      <c r="AF650" s="124"/>
      <c r="AG650" s="124"/>
      <c r="AH650" s="124"/>
      <c r="AI650" s="124"/>
      <c r="AJ650" s="124"/>
      <c r="AK650" s="124"/>
      <c r="AL650" s="124"/>
      <c r="AM650" s="124"/>
      <c r="AN650" s="124"/>
      <c r="AO650" s="124"/>
      <c r="AP650" s="124"/>
      <c r="AQ650" s="124"/>
      <c r="AR650" s="124"/>
      <c r="AS650" s="124"/>
      <c r="AT650" s="124"/>
      <c r="AU650" s="124"/>
      <c r="AV650" s="124"/>
      <c r="AW650" s="124"/>
      <c r="AX650" s="124"/>
      <c r="AY650" s="124"/>
      <c r="AZ650" s="124"/>
      <c r="BA650" s="124"/>
      <c r="BB650" s="124"/>
      <c r="BC650" s="124"/>
      <c r="BD650" s="124"/>
      <c r="BE650" s="124"/>
      <c r="BF650" s="124"/>
      <c r="BG650" s="124"/>
      <c r="BH650" s="124"/>
      <c r="BI650" s="124"/>
      <c r="BJ650" s="124"/>
      <c r="BK650" s="124"/>
      <c r="BL650" s="124"/>
      <c r="BM650" s="124"/>
      <c r="BN650" s="124"/>
      <c r="BO650" s="124"/>
      <c r="BP650" s="124"/>
    </row>
    <row r="651" spans="1:68" hidden="1" x14ac:dyDescent="0.25">
      <c r="B651" s="109" t="s">
        <v>277</v>
      </c>
      <c r="C651" s="489" t="s">
        <v>363</v>
      </c>
      <c r="D651" s="42" t="s">
        <v>314</v>
      </c>
      <c r="E651" s="13"/>
      <c r="F651" s="2">
        <v>203415</v>
      </c>
      <c r="G651" s="2"/>
      <c r="H651" s="2"/>
      <c r="I651" s="2"/>
      <c r="J651" s="58"/>
      <c r="K651" s="124"/>
      <c r="L651" s="124"/>
      <c r="M651" s="124"/>
      <c r="N651" s="124"/>
      <c r="O651" s="124"/>
      <c r="P651" s="124"/>
      <c r="Q651" s="124"/>
      <c r="R651" s="124"/>
      <c r="S651" s="124"/>
      <c r="T651" s="124"/>
      <c r="U651" s="124"/>
      <c r="V651" s="124"/>
      <c r="W651" s="124"/>
      <c r="X651" s="124"/>
      <c r="Y651" s="124"/>
      <c r="Z651" s="124"/>
      <c r="AA651" s="124"/>
      <c r="AB651" s="124"/>
      <c r="AC651" s="124"/>
      <c r="AD651" s="124"/>
      <c r="AE651" s="124"/>
      <c r="AF651" s="124"/>
      <c r="AG651" s="124"/>
      <c r="AH651" s="124"/>
      <c r="AI651" s="124"/>
      <c r="AJ651" s="124"/>
      <c r="AK651" s="124"/>
      <c r="AL651" s="124"/>
      <c r="AM651" s="124"/>
      <c r="AN651" s="124"/>
      <c r="AO651" s="124"/>
      <c r="AP651" s="124"/>
      <c r="AQ651" s="124"/>
      <c r="AR651" s="124"/>
      <c r="AS651" s="124"/>
      <c r="AT651" s="124"/>
      <c r="AU651" s="124"/>
      <c r="AV651" s="124"/>
      <c r="AW651" s="124"/>
      <c r="AX651" s="124"/>
      <c r="AY651" s="124"/>
      <c r="AZ651" s="124"/>
      <c r="BA651" s="124"/>
      <c r="BB651" s="124"/>
      <c r="BC651" s="124"/>
      <c r="BD651" s="124"/>
      <c r="BE651" s="124"/>
      <c r="BF651" s="124"/>
      <c r="BG651" s="124"/>
      <c r="BH651" s="124"/>
      <c r="BI651" s="124"/>
      <c r="BJ651" s="124"/>
      <c r="BK651" s="124"/>
      <c r="BL651" s="124"/>
      <c r="BM651" s="124"/>
      <c r="BN651" s="124"/>
      <c r="BO651" s="124"/>
      <c r="BP651" s="124"/>
    </row>
    <row r="652" spans="1:68" hidden="1" x14ac:dyDescent="0.25">
      <c r="A652" s="104">
        <v>1</v>
      </c>
      <c r="B652" s="109" t="s">
        <v>277</v>
      </c>
      <c r="C652" s="489" t="s">
        <v>363</v>
      </c>
      <c r="D652" s="42" t="s">
        <v>317</v>
      </c>
      <c r="E652" s="13"/>
      <c r="F652" s="2">
        <v>800</v>
      </c>
      <c r="G652" s="2"/>
      <c r="H652" s="2"/>
      <c r="I652" s="2"/>
      <c r="J652" s="58"/>
      <c r="K652" s="124"/>
      <c r="L652" s="124"/>
      <c r="M652" s="124"/>
      <c r="N652" s="124"/>
      <c r="O652" s="124"/>
      <c r="P652" s="124"/>
      <c r="Q652" s="124"/>
      <c r="R652" s="124"/>
      <c r="S652" s="124"/>
      <c r="T652" s="124"/>
      <c r="U652" s="124"/>
      <c r="V652" s="124"/>
      <c r="W652" s="124"/>
      <c r="X652" s="124"/>
      <c r="Y652" s="124"/>
      <c r="Z652" s="124"/>
      <c r="AA652" s="124"/>
      <c r="AB652" s="124"/>
      <c r="AC652" s="124"/>
      <c r="AD652" s="124"/>
      <c r="AE652" s="124"/>
      <c r="AF652" s="124"/>
      <c r="AG652" s="124"/>
      <c r="AH652" s="124"/>
      <c r="AI652" s="124"/>
      <c r="AJ652" s="124"/>
      <c r="AK652" s="124"/>
      <c r="AL652" s="124"/>
      <c r="AM652" s="124"/>
      <c r="AN652" s="124"/>
      <c r="AO652" s="124"/>
      <c r="AP652" s="124"/>
      <c r="AQ652" s="124"/>
      <c r="AR652" s="124"/>
      <c r="AS652" s="124"/>
      <c r="AT652" s="124"/>
      <c r="AU652" s="124"/>
      <c r="AV652" s="124"/>
      <c r="AW652" s="124"/>
      <c r="AX652" s="124"/>
      <c r="AY652" s="124"/>
      <c r="AZ652" s="124"/>
      <c r="BA652" s="124"/>
      <c r="BB652" s="124"/>
      <c r="BC652" s="124"/>
      <c r="BD652" s="124"/>
      <c r="BE652" s="124"/>
      <c r="BF652" s="124"/>
      <c r="BG652" s="124"/>
      <c r="BH652" s="124"/>
      <c r="BI652" s="124"/>
      <c r="BJ652" s="124"/>
      <c r="BK652" s="124"/>
      <c r="BL652" s="124"/>
      <c r="BM652" s="124"/>
      <c r="BN652" s="124"/>
      <c r="BO652" s="124"/>
      <c r="BP652" s="124"/>
    </row>
    <row r="653" spans="1:68" hidden="1" x14ac:dyDescent="0.25">
      <c r="A653" s="104">
        <v>1</v>
      </c>
      <c r="B653" s="109" t="s">
        <v>277</v>
      </c>
      <c r="C653" s="489" t="s">
        <v>363</v>
      </c>
      <c r="D653" s="21" t="s">
        <v>198</v>
      </c>
      <c r="E653" s="24"/>
      <c r="F653" s="29">
        <f>F646</f>
        <v>1755</v>
      </c>
      <c r="G653" s="24"/>
      <c r="H653" s="24"/>
      <c r="I653" s="24"/>
      <c r="J653" s="58"/>
      <c r="K653" s="124"/>
      <c r="L653" s="124"/>
      <c r="M653" s="124"/>
      <c r="N653" s="124"/>
      <c r="O653" s="124"/>
      <c r="P653" s="124"/>
      <c r="Q653" s="124"/>
      <c r="R653" s="124"/>
      <c r="S653" s="124"/>
      <c r="T653" s="124"/>
      <c r="U653" s="124"/>
      <c r="V653" s="124"/>
      <c r="W653" s="124"/>
      <c r="X653" s="124"/>
      <c r="Y653" s="124"/>
      <c r="Z653" s="124"/>
      <c r="AA653" s="124"/>
      <c r="AB653" s="124"/>
      <c r="AC653" s="124"/>
      <c r="AD653" s="124"/>
      <c r="AE653" s="124"/>
      <c r="AF653" s="124"/>
      <c r="AG653" s="124"/>
      <c r="AH653" s="124"/>
      <c r="AI653" s="124"/>
      <c r="AJ653" s="124"/>
      <c r="AK653" s="124"/>
      <c r="AL653" s="124"/>
      <c r="AM653" s="124"/>
      <c r="AN653" s="124"/>
      <c r="AO653" s="124"/>
      <c r="AP653" s="124"/>
      <c r="AQ653" s="124"/>
      <c r="AR653" s="124"/>
      <c r="AS653" s="124"/>
      <c r="AT653" s="124"/>
      <c r="AU653" s="124"/>
      <c r="AV653" s="124"/>
      <c r="AW653" s="124"/>
      <c r="AX653" s="124"/>
      <c r="AY653" s="124"/>
      <c r="AZ653" s="124"/>
      <c r="BA653" s="124"/>
      <c r="BB653" s="124"/>
      <c r="BC653" s="124"/>
      <c r="BD653" s="124"/>
      <c r="BE653" s="124"/>
      <c r="BF653" s="124"/>
      <c r="BG653" s="124"/>
      <c r="BH653" s="124"/>
      <c r="BI653" s="124"/>
      <c r="BJ653" s="124"/>
      <c r="BK653" s="124"/>
      <c r="BL653" s="124"/>
      <c r="BM653" s="124"/>
      <c r="BN653" s="124"/>
      <c r="BO653" s="124"/>
      <c r="BP653" s="124"/>
    </row>
    <row r="654" spans="1:68" hidden="1" x14ac:dyDescent="0.25">
      <c r="A654" s="104">
        <v>1</v>
      </c>
      <c r="B654" s="109" t="s">
        <v>277</v>
      </c>
      <c r="C654" s="489" t="s">
        <v>363</v>
      </c>
      <c r="D654" s="21" t="s">
        <v>200</v>
      </c>
      <c r="E654" s="13"/>
      <c r="F654" s="29">
        <f>F649</f>
        <v>21725</v>
      </c>
      <c r="G654" s="2"/>
      <c r="H654" s="2"/>
      <c r="I654" s="2"/>
      <c r="J654" s="58"/>
      <c r="K654" s="124"/>
      <c r="L654" s="124"/>
      <c r="M654" s="124"/>
      <c r="N654" s="124"/>
      <c r="O654" s="124"/>
      <c r="P654" s="124"/>
      <c r="Q654" s="124"/>
      <c r="R654" s="124"/>
      <c r="S654" s="124"/>
      <c r="T654" s="124"/>
      <c r="U654" s="124"/>
      <c r="V654" s="124"/>
      <c r="W654" s="124"/>
      <c r="X654" s="124"/>
      <c r="Y654" s="124"/>
      <c r="Z654" s="124"/>
      <c r="AA654" s="124"/>
      <c r="AB654" s="124"/>
      <c r="AC654" s="124"/>
      <c r="AD654" s="124"/>
      <c r="AE654" s="124"/>
      <c r="AF654" s="124"/>
      <c r="AG654" s="124"/>
      <c r="AH654" s="124"/>
      <c r="AI654" s="124"/>
      <c r="AJ654" s="124"/>
      <c r="AK654" s="124"/>
      <c r="AL654" s="124"/>
      <c r="AM654" s="124"/>
      <c r="AN654" s="124"/>
      <c r="AO654" s="124"/>
      <c r="AP654" s="124"/>
      <c r="AQ654" s="124"/>
      <c r="AR654" s="124"/>
      <c r="AS654" s="124"/>
      <c r="AT654" s="124"/>
      <c r="AU654" s="124"/>
      <c r="AV654" s="124"/>
      <c r="AW654" s="124"/>
      <c r="AX654" s="124"/>
      <c r="AY654" s="124"/>
      <c r="AZ654" s="124"/>
      <c r="BA654" s="124"/>
      <c r="BB654" s="124"/>
      <c r="BC654" s="124"/>
      <c r="BD654" s="124"/>
      <c r="BE654" s="124"/>
      <c r="BF654" s="124"/>
      <c r="BG654" s="124"/>
      <c r="BH654" s="124"/>
      <c r="BI654" s="124"/>
      <c r="BJ654" s="124"/>
      <c r="BK654" s="124"/>
      <c r="BL654" s="124"/>
      <c r="BM654" s="124"/>
      <c r="BN654" s="124"/>
      <c r="BO654" s="124"/>
      <c r="BP654" s="124"/>
    </row>
    <row r="655" spans="1:68" hidden="1" x14ac:dyDescent="0.25">
      <c r="A655" s="104">
        <v>1</v>
      </c>
      <c r="B655" s="109" t="s">
        <v>277</v>
      </c>
      <c r="C655" s="489" t="s">
        <v>363</v>
      </c>
      <c r="D655" s="22" t="s">
        <v>109</v>
      </c>
      <c r="E655" s="13"/>
      <c r="F655" s="29">
        <f>F653+F651/4.2+F652/4.2</f>
        <v>50377.619047619046</v>
      </c>
      <c r="G655" s="2"/>
      <c r="H655" s="2"/>
      <c r="I655" s="2"/>
      <c r="J655" s="58"/>
      <c r="K655" s="124"/>
      <c r="L655" s="124"/>
      <c r="M655" s="124"/>
      <c r="N655" s="124"/>
      <c r="O655" s="124"/>
      <c r="P655" s="124"/>
      <c r="Q655" s="124"/>
      <c r="R655" s="124"/>
      <c r="S655" s="124"/>
      <c r="T655" s="124"/>
      <c r="U655" s="124"/>
      <c r="V655" s="124"/>
      <c r="W655" s="124"/>
      <c r="X655" s="124"/>
      <c r="Y655" s="124"/>
      <c r="Z655" s="124"/>
      <c r="AA655" s="124"/>
      <c r="AB655" s="124"/>
      <c r="AC655" s="124"/>
      <c r="AD655" s="124"/>
      <c r="AE655" s="124"/>
      <c r="AF655" s="124"/>
      <c r="AG655" s="124"/>
      <c r="AH655" s="124"/>
      <c r="AI655" s="124"/>
      <c r="AJ655" s="124"/>
      <c r="AK655" s="124"/>
      <c r="AL655" s="124"/>
      <c r="AM655" s="124"/>
      <c r="AN655" s="124"/>
      <c r="AO655" s="124"/>
      <c r="AP655" s="124"/>
      <c r="AQ655" s="124"/>
      <c r="AR655" s="124"/>
      <c r="AS655" s="124"/>
      <c r="AT655" s="124"/>
      <c r="AU655" s="124"/>
      <c r="AV655" s="124"/>
      <c r="AW655" s="124"/>
      <c r="AX655" s="124"/>
      <c r="AY655" s="124"/>
      <c r="AZ655" s="124"/>
      <c r="BA655" s="124"/>
      <c r="BB655" s="124"/>
      <c r="BC655" s="124"/>
      <c r="BD655" s="124"/>
      <c r="BE655" s="124"/>
      <c r="BF655" s="124"/>
      <c r="BG655" s="124"/>
      <c r="BH655" s="124"/>
      <c r="BI655" s="124"/>
      <c r="BJ655" s="124"/>
      <c r="BK655" s="124"/>
      <c r="BL655" s="124"/>
      <c r="BM655" s="124"/>
      <c r="BN655" s="124"/>
      <c r="BO655" s="124"/>
      <c r="BP655" s="124"/>
    </row>
    <row r="656" spans="1:68" ht="15.75" hidden="1" thickBot="1" x14ac:dyDescent="0.3">
      <c r="A656" s="104">
        <v>1</v>
      </c>
      <c r="B656" s="109" t="s">
        <v>277</v>
      </c>
      <c r="C656" s="489" t="s">
        <v>363</v>
      </c>
      <c r="D656" s="644" t="s">
        <v>220</v>
      </c>
      <c r="E656" s="645"/>
      <c r="F656" s="645"/>
      <c r="G656" s="645"/>
      <c r="H656" s="645"/>
      <c r="I656" s="645"/>
      <c r="J656" s="124"/>
      <c r="K656" s="124"/>
      <c r="L656" s="124"/>
      <c r="M656" s="124"/>
      <c r="N656" s="124"/>
      <c r="O656" s="124"/>
      <c r="P656" s="124"/>
      <c r="Q656" s="124"/>
      <c r="R656" s="124"/>
      <c r="S656" s="124"/>
      <c r="T656" s="124"/>
      <c r="U656" s="124"/>
      <c r="V656" s="124"/>
      <c r="W656" s="124"/>
      <c r="X656" s="124"/>
      <c r="Y656" s="124"/>
      <c r="Z656" s="124"/>
      <c r="AA656" s="124"/>
      <c r="AB656" s="124"/>
      <c r="AC656" s="124"/>
      <c r="AD656" s="124"/>
      <c r="AE656" s="124"/>
      <c r="AF656" s="124"/>
      <c r="AG656" s="124"/>
      <c r="AH656" s="124"/>
      <c r="AI656" s="124"/>
      <c r="AJ656" s="124"/>
      <c r="AK656" s="124"/>
      <c r="AL656" s="124"/>
      <c r="AM656" s="124"/>
      <c r="AN656" s="124"/>
      <c r="AO656" s="124"/>
      <c r="AP656" s="124"/>
      <c r="AQ656" s="124"/>
      <c r="AR656" s="124"/>
      <c r="AS656" s="124"/>
      <c r="AT656" s="124"/>
      <c r="AU656" s="124"/>
      <c r="AV656" s="124"/>
      <c r="AW656" s="124"/>
      <c r="AX656" s="124"/>
      <c r="AY656" s="124"/>
      <c r="AZ656" s="124"/>
      <c r="BA656" s="124"/>
      <c r="BB656" s="124"/>
      <c r="BC656" s="124"/>
      <c r="BD656" s="124"/>
      <c r="BE656" s="124"/>
      <c r="BF656" s="124"/>
      <c r="BG656" s="124"/>
      <c r="BH656" s="124"/>
      <c r="BI656" s="124"/>
      <c r="BJ656" s="124"/>
      <c r="BK656" s="124"/>
      <c r="BL656" s="124"/>
      <c r="BM656" s="124"/>
      <c r="BN656" s="124"/>
      <c r="BO656" s="124"/>
      <c r="BP656" s="124"/>
    </row>
    <row r="657" spans="1:68" hidden="1" x14ac:dyDescent="0.25">
      <c r="B657" s="489"/>
      <c r="C657" s="489" t="s">
        <v>363</v>
      </c>
      <c r="D657" s="278"/>
      <c r="E657" s="610"/>
      <c r="F657" s="610"/>
      <c r="G657" s="610"/>
      <c r="H657" s="610"/>
      <c r="I657" s="610"/>
      <c r="J657" s="124"/>
      <c r="K657" s="124"/>
      <c r="L657" s="124"/>
      <c r="M657" s="124"/>
      <c r="N657" s="124"/>
      <c r="O657" s="124"/>
      <c r="P657" s="124"/>
      <c r="Q657" s="124"/>
      <c r="R657" s="124"/>
      <c r="S657" s="124"/>
      <c r="T657" s="124"/>
      <c r="U657" s="124"/>
      <c r="V657" s="124"/>
      <c r="W657" s="124"/>
      <c r="X657" s="124"/>
      <c r="Y657" s="124"/>
      <c r="Z657" s="124"/>
      <c r="AA657" s="124"/>
      <c r="AB657" s="124"/>
      <c r="AC657" s="124"/>
      <c r="AD657" s="124"/>
      <c r="AE657" s="124"/>
      <c r="AF657" s="124"/>
      <c r="AG657" s="124"/>
      <c r="AH657" s="124"/>
      <c r="AI657" s="124"/>
      <c r="AJ657" s="124"/>
      <c r="AK657" s="124"/>
      <c r="AL657" s="124"/>
      <c r="AM657" s="124"/>
      <c r="AN657" s="124"/>
      <c r="AO657" s="124"/>
      <c r="AP657" s="124"/>
      <c r="AQ657" s="124"/>
      <c r="AR657" s="124"/>
      <c r="AS657" s="124"/>
      <c r="AT657" s="124"/>
      <c r="AU657" s="124"/>
      <c r="AV657" s="124"/>
      <c r="AW657" s="124"/>
      <c r="AX657" s="124"/>
      <c r="AY657" s="124"/>
      <c r="AZ657" s="124"/>
      <c r="BA657" s="124"/>
      <c r="BB657" s="124"/>
      <c r="BC657" s="124"/>
      <c r="BD657" s="124"/>
      <c r="BE657" s="124"/>
      <c r="BF657" s="124"/>
      <c r="BG657" s="124"/>
      <c r="BH657" s="124"/>
      <c r="BI657" s="124"/>
      <c r="BJ657" s="124"/>
      <c r="BK657" s="124"/>
      <c r="BL657" s="124"/>
      <c r="BM657" s="124"/>
      <c r="BN657" s="124"/>
      <c r="BO657" s="124"/>
      <c r="BP657" s="124"/>
    </row>
    <row r="658" spans="1:68" ht="31.5" hidden="1" x14ac:dyDescent="0.25">
      <c r="B658" s="489"/>
      <c r="C658" s="489" t="s">
        <v>363</v>
      </c>
      <c r="D658" s="678" t="s">
        <v>427</v>
      </c>
      <c r="E658" s="190"/>
      <c r="F658" s="2"/>
      <c r="G658" s="2"/>
      <c r="H658" s="2"/>
      <c r="I658" s="2"/>
      <c r="J658" s="124"/>
      <c r="K658" s="124"/>
      <c r="L658" s="124"/>
      <c r="M658" s="124"/>
      <c r="N658" s="124"/>
      <c r="O658" s="124"/>
      <c r="P658" s="124"/>
      <c r="Q658" s="124"/>
      <c r="R658" s="124"/>
      <c r="S658" s="124"/>
      <c r="T658" s="124"/>
      <c r="U658" s="124"/>
      <c r="V658" s="124"/>
      <c r="W658" s="124"/>
      <c r="X658" s="124"/>
      <c r="Y658" s="124"/>
      <c r="Z658" s="124"/>
      <c r="AA658" s="124"/>
      <c r="AB658" s="124"/>
      <c r="AC658" s="124"/>
      <c r="AD658" s="124"/>
      <c r="AE658" s="124"/>
      <c r="AF658" s="124"/>
      <c r="AG658" s="124"/>
      <c r="AH658" s="124"/>
      <c r="AI658" s="124"/>
      <c r="AJ658" s="124"/>
      <c r="AK658" s="124"/>
      <c r="AL658" s="124"/>
      <c r="AM658" s="124"/>
      <c r="AN658" s="124"/>
      <c r="AO658" s="124"/>
      <c r="AP658" s="124"/>
      <c r="AQ658" s="124"/>
      <c r="AR658" s="124"/>
      <c r="AS658" s="124"/>
      <c r="AT658" s="124"/>
      <c r="AU658" s="124"/>
      <c r="AV658" s="124"/>
      <c r="AW658" s="124"/>
      <c r="AX658" s="124"/>
      <c r="AY658" s="124"/>
      <c r="AZ658" s="124"/>
      <c r="BA658" s="124"/>
      <c r="BB658" s="124"/>
      <c r="BC658" s="124"/>
      <c r="BD658" s="124"/>
      <c r="BE658" s="124"/>
      <c r="BF658" s="124"/>
      <c r="BG658" s="124"/>
      <c r="BH658" s="124"/>
      <c r="BI658" s="124"/>
      <c r="BJ658" s="124"/>
      <c r="BK658" s="124"/>
      <c r="BL658" s="124"/>
      <c r="BM658" s="124"/>
      <c r="BN658" s="124"/>
      <c r="BO658" s="124"/>
      <c r="BP658" s="124"/>
    </row>
    <row r="659" spans="1:68" hidden="1" x14ac:dyDescent="0.25">
      <c r="B659" s="489"/>
      <c r="C659" s="489" t="s">
        <v>363</v>
      </c>
      <c r="D659" s="12" t="s">
        <v>108</v>
      </c>
      <c r="E659" s="13"/>
      <c r="F659" s="2"/>
      <c r="G659" s="2"/>
      <c r="H659" s="2"/>
      <c r="I659" s="2"/>
      <c r="J659" s="124"/>
      <c r="K659" s="124"/>
      <c r="L659" s="124"/>
      <c r="M659" s="124"/>
      <c r="N659" s="124"/>
      <c r="O659" s="124"/>
      <c r="P659" s="124"/>
      <c r="Q659" s="124"/>
      <c r="R659" s="124"/>
      <c r="S659" s="124"/>
      <c r="T659" s="124"/>
      <c r="U659" s="124"/>
      <c r="V659" s="124"/>
      <c r="W659" s="124"/>
      <c r="X659" s="124"/>
      <c r="Y659" s="124"/>
      <c r="Z659" s="124"/>
      <c r="AA659" s="124"/>
      <c r="AB659" s="124"/>
      <c r="AC659" s="124"/>
      <c r="AD659" s="124"/>
      <c r="AE659" s="124"/>
      <c r="AF659" s="124"/>
      <c r="AG659" s="124"/>
      <c r="AH659" s="124"/>
      <c r="AI659" s="124"/>
      <c r="AJ659" s="124"/>
      <c r="AK659" s="124"/>
      <c r="AL659" s="124"/>
      <c r="AM659" s="124"/>
      <c r="AN659" s="124"/>
      <c r="AO659" s="124"/>
      <c r="AP659" s="124"/>
      <c r="AQ659" s="124"/>
      <c r="AR659" s="124"/>
      <c r="AS659" s="124"/>
      <c r="AT659" s="124"/>
      <c r="AU659" s="124"/>
      <c r="AV659" s="124"/>
      <c r="AW659" s="124"/>
      <c r="AX659" s="124"/>
      <c r="AY659" s="124"/>
      <c r="AZ659" s="124"/>
      <c r="BA659" s="124"/>
      <c r="BB659" s="124"/>
      <c r="BC659" s="124"/>
      <c r="BD659" s="124"/>
      <c r="BE659" s="124"/>
      <c r="BF659" s="124"/>
      <c r="BG659" s="124"/>
      <c r="BH659" s="124"/>
      <c r="BI659" s="124"/>
      <c r="BJ659" s="124"/>
      <c r="BK659" s="124"/>
      <c r="BL659" s="124"/>
      <c r="BM659" s="124"/>
      <c r="BN659" s="124"/>
      <c r="BO659" s="124"/>
      <c r="BP659" s="124"/>
    </row>
    <row r="660" spans="1:68" hidden="1" x14ac:dyDescent="0.25">
      <c r="B660" s="489"/>
      <c r="C660" s="489" t="s">
        <v>363</v>
      </c>
      <c r="D660" s="12" t="s">
        <v>96</v>
      </c>
      <c r="E660" s="13"/>
      <c r="F660" s="2"/>
      <c r="G660" s="2"/>
      <c r="H660" s="2"/>
      <c r="I660" s="2"/>
      <c r="J660" s="58"/>
      <c r="K660" s="124"/>
      <c r="L660" s="124"/>
      <c r="M660" s="124"/>
      <c r="N660" s="124"/>
      <c r="O660" s="124"/>
      <c r="P660" s="124"/>
      <c r="Q660" s="124"/>
      <c r="R660" s="124"/>
      <c r="S660" s="124"/>
      <c r="T660" s="124"/>
      <c r="U660" s="124"/>
      <c r="V660" s="124"/>
      <c r="W660" s="124"/>
      <c r="X660" s="124"/>
      <c r="Y660" s="124"/>
      <c r="Z660" s="124"/>
      <c r="AA660" s="124"/>
      <c r="AB660" s="124"/>
      <c r="AC660" s="124"/>
      <c r="AD660" s="124"/>
      <c r="AE660" s="124"/>
      <c r="AF660" s="124"/>
      <c r="AG660" s="124"/>
      <c r="AH660" s="124"/>
      <c r="AI660" s="124"/>
      <c r="AJ660" s="124"/>
      <c r="AK660" s="124"/>
      <c r="AL660" s="124"/>
      <c r="AM660" s="124"/>
      <c r="AN660" s="124"/>
      <c r="AO660" s="124"/>
      <c r="AP660" s="124"/>
      <c r="AQ660" s="124"/>
      <c r="AR660" s="124"/>
      <c r="AS660" s="124"/>
      <c r="AT660" s="124"/>
      <c r="AU660" s="124"/>
      <c r="AV660" s="124"/>
      <c r="AW660" s="124"/>
      <c r="AX660" s="124"/>
      <c r="AY660" s="124"/>
      <c r="AZ660" s="124"/>
      <c r="BA660" s="124"/>
      <c r="BB660" s="124"/>
      <c r="BC660" s="124"/>
      <c r="BD660" s="124"/>
      <c r="BE660" s="124"/>
      <c r="BF660" s="124"/>
      <c r="BG660" s="124"/>
      <c r="BH660" s="124"/>
      <c r="BI660" s="124"/>
      <c r="BJ660" s="124"/>
      <c r="BK660" s="124"/>
      <c r="BL660" s="124"/>
      <c r="BM660" s="124"/>
      <c r="BN660" s="124"/>
      <c r="BO660" s="124"/>
      <c r="BP660" s="124"/>
    </row>
    <row r="661" spans="1:68" hidden="1" x14ac:dyDescent="0.25">
      <c r="B661" s="489"/>
      <c r="C661" s="489" t="s">
        <v>363</v>
      </c>
      <c r="D661" s="14" t="s">
        <v>296</v>
      </c>
      <c r="E661" s="13"/>
      <c r="F661" s="2">
        <f>F662</f>
        <v>1990</v>
      </c>
      <c r="G661" s="2"/>
      <c r="H661" s="2"/>
      <c r="I661" s="2"/>
      <c r="J661" s="58"/>
      <c r="K661" s="124"/>
      <c r="L661" s="124"/>
      <c r="M661" s="124"/>
      <c r="N661" s="124"/>
      <c r="O661" s="124"/>
      <c r="P661" s="124"/>
      <c r="Q661" s="124"/>
      <c r="R661" s="124"/>
      <c r="S661" s="124"/>
      <c r="T661" s="124"/>
      <c r="U661" s="124"/>
      <c r="V661" s="124"/>
      <c r="W661" s="124"/>
      <c r="X661" s="124"/>
      <c r="Y661" s="124"/>
      <c r="Z661" s="124"/>
      <c r="AA661" s="124"/>
      <c r="AB661" s="124"/>
      <c r="AC661" s="124"/>
      <c r="AD661" s="124"/>
      <c r="AE661" s="124"/>
      <c r="AF661" s="124"/>
      <c r="AG661" s="124"/>
      <c r="AH661" s="124"/>
      <c r="AI661" s="124"/>
      <c r="AJ661" s="124"/>
      <c r="AK661" s="124"/>
      <c r="AL661" s="124"/>
      <c r="AM661" s="124"/>
      <c r="AN661" s="124"/>
      <c r="AO661" s="124"/>
      <c r="AP661" s="124"/>
      <c r="AQ661" s="124"/>
      <c r="AR661" s="124"/>
      <c r="AS661" s="124"/>
      <c r="AT661" s="124"/>
      <c r="AU661" s="124"/>
      <c r="AV661" s="124"/>
      <c r="AW661" s="124"/>
      <c r="AX661" s="124"/>
      <c r="AY661" s="124"/>
      <c r="AZ661" s="124"/>
      <c r="BA661" s="124"/>
      <c r="BB661" s="124"/>
      <c r="BC661" s="124"/>
      <c r="BD661" s="124"/>
      <c r="BE661" s="124"/>
      <c r="BF661" s="124"/>
      <c r="BG661" s="124"/>
      <c r="BH661" s="124"/>
      <c r="BI661" s="124"/>
      <c r="BJ661" s="124"/>
      <c r="BK661" s="124"/>
      <c r="BL661" s="124"/>
      <c r="BM661" s="124"/>
      <c r="BN661" s="124"/>
      <c r="BO661" s="124"/>
      <c r="BP661" s="124"/>
    </row>
    <row r="662" spans="1:68" ht="30" hidden="1" x14ac:dyDescent="0.25">
      <c r="B662" s="489"/>
      <c r="C662" s="489" t="s">
        <v>363</v>
      </c>
      <c r="D662" s="266" t="s">
        <v>298</v>
      </c>
      <c r="E662" s="13"/>
      <c r="F662" s="2">
        <f>F663/4</f>
        <v>1990</v>
      </c>
      <c r="G662" s="2"/>
      <c r="H662" s="2"/>
      <c r="I662" s="2"/>
      <c r="J662" s="58"/>
      <c r="K662" s="124"/>
      <c r="L662" s="124"/>
      <c r="M662" s="124"/>
      <c r="N662" s="124"/>
      <c r="O662" s="124"/>
      <c r="P662" s="124"/>
      <c r="Q662" s="124"/>
      <c r="R662" s="124"/>
      <c r="S662" s="124"/>
      <c r="T662" s="124"/>
      <c r="U662" s="124"/>
      <c r="V662" s="124"/>
      <c r="W662" s="124"/>
      <c r="X662" s="124"/>
      <c r="Y662" s="124"/>
      <c r="Z662" s="124"/>
      <c r="AA662" s="124"/>
      <c r="AB662" s="124"/>
      <c r="AC662" s="124"/>
      <c r="AD662" s="124"/>
      <c r="AE662" s="124"/>
      <c r="AF662" s="124"/>
      <c r="AG662" s="124"/>
      <c r="AH662" s="124"/>
      <c r="AI662" s="124"/>
      <c r="AJ662" s="124"/>
      <c r="AK662" s="124"/>
      <c r="AL662" s="124"/>
      <c r="AM662" s="124"/>
      <c r="AN662" s="124"/>
      <c r="AO662" s="124"/>
      <c r="AP662" s="124"/>
      <c r="AQ662" s="124"/>
      <c r="AR662" s="124"/>
      <c r="AS662" s="124"/>
      <c r="AT662" s="124"/>
      <c r="AU662" s="124"/>
      <c r="AV662" s="124"/>
      <c r="AW662" s="124"/>
      <c r="AX662" s="124"/>
      <c r="AY662" s="124"/>
      <c r="AZ662" s="124"/>
      <c r="BA662" s="124"/>
      <c r="BB662" s="124"/>
      <c r="BC662" s="124"/>
      <c r="BD662" s="124"/>
      <c r="BE662" s="124"/>
      <c r="BF662" s="124"/>
      <c r="BG662" s="124"/>
      <c r="BH662" s="124"/>
      <c r="BI662" s="124"/>
      <c r="BJ662" s="124"/>
      <c r="BK662" s="124"/>
      <c r="BL662" s="124"/>
      <c r="BM662" s="124"/>
      <c r="BN662" s="124"/>
      <c r="BO662" s="124"/>
      <c r="BP662" s="124"/>
    </row>
    <row r="663" spans="1:68" ht="30" hidden="1" x14ac:dyDescent="0.25">
      <c r="B663" s="489"/>
      <c r="C663" s="489" t="s">
        <v>363</v>
      </c>
      <c r="D663" s="15" t="s">
        <v>300</v>
      </c>
      <c r="E663" s="13"/>
      <c r="F663" s="2">
        <v>7960</v>
      </c>
      <c r="G663" s="2"/>
      <c r="H663" s="2"/>
      <c r="I663" s="2"/>
      <c r="J663" s="58"/>
      <c r="K663" s="124"/>
      <c r="L663" s="124"/>
      <c r="M663" s="124"/>
      <c r="N663" s="124"/>
      <c r="O663" s="124"/>
      <c r="P663" s="124"/>
      <c r="Q663" s="124"/>
      <c r="R663" s="124"/>
      <c r="S663" s="124"/>
      <c r="T663" s="124"/>
      <c r="U663" s="124"/>
      <c r="V663" s="124"/>
      <c r="W663" s="124"/>
      <c r="X663" s="124"/>
      <c r="Y663" s="124"/>
      <c r="Z663" s="124"/>
      <c r="AA663" s="124"/>
      <c r="AB663" s="124"/>
      <c r="AC663" s="124"/>
      <c r="AD663" s="124"/>
      <c r="AE663" s="124"/>
      <c r="AF663" s="124"/>
      <c r="AG663" s="124"/>
      <c r="AH663" s="124"/>
      <c r="AI663" s="124"/>
      <c r="AJ663" s="124"/>
      <c r="AK663" s="124"/>
      <c r="AL663" s="124"/>
      <c r="AM663" s="124"/>
      <c r="AN663" s="124"/>
      <c r="AO663" s="124"/>
      <c r="AP663" s="124"/>
      <c r="AQ663" s="124"/>
      <c r="AR663" s="124"/>
      <c r="AS663" s="124"/>
      <c r="AT663" s="124"/>
      <c r="AU663" s="124"/>
      <c r="AV663" s="124"/>
      <c r="AW663" s="124"/>
      <c r="AX663" s="124"/>
      <c r="AY663" s="124"/>
      <c r="AZ663" s="124"/>
      <c r="BA663" s="124"/>
      <c r="BB663" s="124"/>
      <c r="BC663" s="124"/>
      <c r="BD663" s="124"/>
      <c r="BE663" s="124"/>
      <c r="BF663" s="124"/>
      <c r="BG663" s="124"/>
      <c r="BH663" s="124"/>
      <c r="BI663" s="124"/>
      <c r="BJ663" s="124"/>
      <c r="BK663" s="124"/>
      <c r="BL663" s="124"/>
      <c r="BM663" s="124"/>
      <c r="BN663" s="124"/>
      <c r="BO663" s="124"/>
      <c r="BP663" s="124"/>
    </row>
    <row r="664" spans="1:68" hidden="1" x14ac:dyDescent="0.25">
      <c r="B664" s="489"/>
      <c r="C664" s="489" t="s">
        <v>363</v>
      </c>
      <c r="D664" s="14" t="s">
        <v>303</v>
      </c>
      <c r="E664" s="13"/>
      <c r="F664" s="2">
        <f>F666/9.4</f>
        <v>3692.6595744680849</v>
      </c>
      <c r="G664" s="2"/>
      <c r="H664" s="2"/>
      <c r="I664" s="2"/>
      <c r="J664" s="58"/>
      <c r="K664" s="124"/>
      <c r="L664" s="124"/>
      <c r="M664" s="124"/>
      <c r="N664" s="124"/>
      <c r="O664" s="124"/>
      <c r="P664" s="124"/>
      <c r="Q664" s="124"/>
      <c r="R664" s="124"/>
      <c r="S664" s="124"/>
      <c r="T664" s="124"/>
      <c r="U664" s="124"/>
      <c r="V664" s="124"/>
      <c r="W664" s="124"/>
      <c r="X664" s="124"/>
      <c r="Y664" s="124"/>
      <c r="Z664" s="124"/>
      <c r="AA664" s="124"/>
      <c r="AB664" s="124"/>
      <c r="AC664" s="124"/>
      <c r="AD664" s="124"/>
      <c r="AE664" s="124"/>
      <c r="AF664" s="124"/>
      <c r="AG664" s="124"/>
      <c r="AH664" s="124"/>
      <c r="AI664" s="124"/>
      <c r="AJ664" s="124"/>
      <c r="AK664" s="124"/>
      <c r="AL664" s="124"/>
      <c r="AM664" s="124"/>
      <c r="AN664" s="124"/>
      <c r="AO664" s="124"/>
      <c r="AP664" s="124"/>
      <c r="AQ664" s="124"/>
      <c r="AR664" s="124"/>
      <c r="AS664" s="124"/>
      <c r="AT664" s="124"/>
      <c r="AU664" s="124"/>
      <c r="AV664" s="124"/>
      <c r="AW664" s="124"/>
      <c r="AX664" s="124"/>
      <c r="AY664" s="124"/>
      <c r="AZ664" s="124"/>
      <c r="BA664" s="124"/>
      <c r="BB664" s="124"/>
      <c r="BC664" s="124"/>
      <c r="BD664" s="124"/>
      <c r="BE664" s="124"/>
      <c r="BF664" s="124"/>
      <c r="BG664" s="124"/>
      <c r="BH664" s="124"/>
      <c r="BI664" s="124"/>
      <c r="BJ664" s="124"/>
      <c r="BK664" s="124"/>
      <c r="BL664" s="124"/>
      <c r="BM664" s="124"/>
      <c r="BN664" s="124"/>
      <c r="BO664" s="124"/>
      <c r="BP664" s="124"/>
    </row>
    <row r="665" spans="1:68" hidden="1" x14ac:dyDescent="0.25">
      <c r="B665" s="489"/>
      <c r="C665" s="489" t="s">
        <v>363</v>
      </c>
      <c r="D665" s="15" t="s">
        <v>305</v>
      </c>
      <c r="E665" s="13"/>
      <c r="F665" s="2">
        <f>F666/9.4</f>
        <v>3692.6595744680849</v>
      </c>
      <c r="G665" s="2"/>
      <c r="H665" s="2"/>
      <c r="I665" s="2"/>
      <c r="J665" s="58"/>
      <c r="K665" s="124"/>
      <c r="L665" s="124"/>
      <c r="M665" s="124"/>
      <c r="N665" s="124"/>
      <c r="O665" s="124"/>
      <c r="P665" s="124"/>
      <c r="Q665" s="124"/>
      <c r="R665" s="124"/>
      <c r="S665" s="124"/>
      <c r="T665" s="124"/>
      <c r="U665" s="124"/>
      <c r="V665" s="124"/>
      <c r="W665" s="124"/>
      <c r="X665" s="124"/>
      <c r="Y665" s="124"/>
      <c r="Z665" s="124"/>
      <c r="AA665" s="124"/>
      <c r="AB665" s="124"/>
      <c r="AC665" s="124"/>
      <c r="AD665" s="124"/>
      <c r="AE665" s="124"/>
      <c r="AF665" s="124"/>
      <c r="AG665" s="124"/>
      <c r="AH665" s="124"/>
      <c r="AI665" s="124"/>
      <c r="AJ665" s="124"/>
      <c r="AK665" s="124"/>
      <c r="AL665" s="124"/>
      <c r="AM665" s="124"/>
      <c r="AN665" s="124"/>
      <c r="AO665" s="124"/>
      <c r="AP665" s="124"/>
      <c r="AQ665" s="124"/>
      <c r="AR665" s="124"/>
      <c r="AS665" s="124"/>
      <c r="AT665" s="124"/>
      <c r="AU665" s="124"/>
      <c r="AV665" s="124"/>
      <c r="AW665" s="124"/>
      <c r="AX665" s="124"/>
      <c r="AY665" s="124"/>
      <c r="AZ665" s="124"/>
      <c r="BA665" s="124"/>
      <c r="BB665" s="124"/>
      <c r="BC665" s="124"/>
      <c r="BD665" s="124"/>
      <c r="BE665" s="124"/>
      <c r="BF665" s="124"/>
      <c r="BG665" s="124"/>
      <c r="BH665" s="124"/>
      <c r="BI665" s="124"/>
      <c r="BJ665" s="124"/>
      <c r="BK665" s="124"/>
      <c r="BL665" s="124"/>
      <c r="BM665" s="124"/>
      <c r="BN665" s="124"/>
      <c r="BO665" s="124"/>
      <c r="BP665" s="124"/>
    </row>
    <row r="666" spans="1:68" hidden="1" x14ac:dyDescent="0.25">
      <c r="B666" s="489"/>
      <c r="C666" s="489" t="s">
        <v>363</v>
      </c>
      <c r="D666" s="42" t="s">
        <v>314</v>
      </c>
      <c r="E666" s="13"/>
      <c r="F666" s="2">
        <v>34711</v>
      </c>
      <c r="G666" s="2"/>
      <c r="H666" s="2"/>
      <c r="I666" s="2"/>
      <c r="J666" s="58"/>
      <c r="K666" s="124"/>
      <c r="L666" s="124"/>
      <c r="M666" s="124"/>
      <c r="N666" s="124"/>
      <c r="O666" s="124"/>
      <c r="P666" s="124"/>
      <c r="Q666" s="124"/>
      <c r="R666" s="124"/>
      <c r="S666" s="124"/>
      <c r="T666" s="124"/>
      <c r="U666" s="124"/>
      <c r="V666" s="124"/>
      <c r="W666" s="124"/>
      <c r="X666" s="124"/>
      <c r="Y666" s="124"/>
      <c r="Z666" s="124"/>
      <c r="AA666" s="124"/>
      <c r="AB666" s="124"/>
      <c r="AC666" s="124"/>
      <c r="AD666" s="124"/>
      <c r="AE666" s="124"/>
      <c r="AF666" s="124"/>
      <c r="AG666" s="124"/>
      <c r="AH666" s="124"/>
      <c r="AI666" s="124"/>
      <c r="AJ666" s="124"/>
      <c r="AK666" s="124"/>
      <c r="AL666" s="124"/>
      <c r="AM666" s="124"/>
      <c r="AN666" s="124"/>
      <c r="AO666" s="124"/>
      <c r="AP666" s="124"/>
      <c r="AQ666" s="124"/>
      <c r="AR666" s="124"/>
      <c r="AS666" s="124"/>
      <c r="AT666" s="124"/>
      <c r="AU666" s="124"/>
      <c r="AV666" s="124"/>
      <c r="AW666" s="124"/>
      <c r="AX666" s="124"/>
      <c r="AY666" s="124"/>
      <c r="AZ666" s="124"/>
      <c r="BA666" s="124"/>
      <c r="BB666" s="124"/>
      <c r="BC666" s="124"/>
      <c r="BD666" s="124"/>
      <c r="BE666" s="124"/>
      <c r="BF666" s="124"/>
      <c r="BG666" s="124"/>
      <c r="BH666" s="124"/>
      <c r="BI666" s="124"/>
      <c r="BJ666" s="124"/>
      <c r="BK666" s="124"/>
      <c r="BL666" s="124"/>
      <c r="BM666" s="124"/>
      <c r="BN666" s="124"/>
      <c r="BO666" s="124"/>
      <c r="BP666" s="124"/>
    </row>
    <row r="667" spans="1:68" hidden="1" x14ac:dyDescent="0.25">
      <c r="B667" s="489"/>
      <c r="C667" s="489" t="s">
        <v>363</v>
      </c>
      <c r="D667" s="42" t="s">
        <v>317</v>
      </c>
      <c r="E667" s="13"/>
      <c r="F667" s="2"/>
      <c r="G667" s="2"/>
      <c r="H667" s="2"/>
      <c r="I667" s="2"/>
      <c r="J667" s="58"/>
      <c r="K667" s="124"/>
      <c r="L667" s="124"/>
      <c r="M667" s="124"/>
      <c r="N667" s="124"/>
      <c r="O667" s="124"/>
      <c r="P667" s="124"/>
      <c r="Q667" s="124"/>
      <c r="R667" s="124"/>
      <c r="S667" s="124"/>
      <c r="T667" s="124"/>
      <c r="U667" s="124"/>
      <c r="V667" s="124"/>
      <c r="W667" s="124"/>
      <c r="X667" s="124"/>
      <c r="Y667" s="124"/>
      <c r="Z667" s="124"/>
      <c r="AA667" s="124"/>
      <c r="AB667" s="124"/>
      <c r="AC667" s="124"/>
      <c r="AD667" s="124"/>
      <c r="AE667" s="124"/>
      <c r="AF667" s="124"/>
      <c r="AG667" s="124"/>
      <c r="AH667" s="124"/>
      <c r="AI667" s="124"/>
      <c r="AJ667" s="124"/>
      <c r="AK667" s="124"/>
      <c r="AL667" s="124"/>
      <c r="AM667" s="124"/>
      <c r="AN667" s="124"/>
      <c r="AO667" s="124"/>
      <c r="AP667" s="124"/>
      <c r="AQ667" s="124"/>
      <c r="AR667" s="124"/>
      <c r="AS667" s="124"/>
      <c r="AT667" s="124"/>
      <c r="AU667" s="124"/>
      <c r="AV667" s="124"/>
      <c r="AW667" s="124"/>
      <c r="AX667" s="124"/>
      <c r="AY667" s="124"/>
      <c r="AZ667" s="124"/>
      <c r="BA667" s="124"/>
      <c r="BB667" s="124"/>
      <c r="BC667" s="124"/>
      <c r="BD667" s="124"/>
      <c r="BE667" s="124"/>
      <c r="BF667" s="124"/>
      <c r="BG667" s="124"/>
      <c r="BH667" s="124"/>
      <c r="BI667" s="124"/>
      <c r="BJ667" s="124"/>
      <c r="BK667" s="124"/>
      <c r="BL667" s="124"/>
      <c r="BM667" s="124"/>
      <c r="BN667" s="124"/>
      <c r="BO667" s="124"/>
      <c r="BP667" s="124"/>
    </row>
    <row r="668" spans="1:68" hidden="1" x14ac:dyDescent="0.25">
      <c r="B668" s="489"/>
      <c r="C668" s="489" t="s">
        <v>363</v>
      </c>
      <c r="D668" s="21" t="s">
        <v>198</v>
      </c>
      <c r="E668" s="24"/>
      <c r="F668" s="29">
        <f>F661</f>
        <v>1990</v>
      </c>
      <c r="G668" s="24"/>
      <c r="H668" s="24"/>
      <c r="I668" s="24"/>
      <c r="J668" s="58"/>
      <c r="K668" s="124"/>
      <c r="L668" s="124"/>
      <c r="M668" s="124"/>
      <c r="N668" s="124"/>
      <c r="O668" s="124"/>
      <c r="P668" s="124"/>
      <c r="Q668" s="124"/>
      <c r="R668" s="124"/>
      <c r="S668" s="124"/>
      <c r="T668" s="124"/>
      <c r="U668" s="124"/>
      <c r="V668" s="124"/>
      <c r="W668" s="124"/>
      <c r="X668" s="124"/>
      <c r="Y668" s="124"/>
      <c r="Z668" s="124"/>
      <c r="AA668" s="124"/>
      <c r="AB668" s="124"/>
      <c r="AC668" s="124"/>
      <c r="AD668" s="124"/>
      <c r="AE668" s="124"/>
      <c r="AF668" s="124"/>
      <c r="AG668" s="124"/>
      <c r="AH668" s="124"/>
      <c r="AI668" s="124"/>
      <c r="AJ668" s="124"/>
      <c r="AK668" s="124"/>
      <c r="AL668" s="124"/>
      <c r="AM668" s="124"/>
      <c r="AN668" s="124"/>
      <c r="AO668" s="124"/>
      <c r="AP668" s="124"/>
      <c r="AQ668" s="124"/>
      <c r="AR668" s="124"/>
      <c r="AS668" s="124"/>
      <c r="AT668" s="124"/>
      <c r="AU668" s="124"/>
      <c r="AV668" s="124"/>
      <c r="AW668" s="124"/>
      <c r="AX668" s="124"/>
      <c r="AY668" s="124"/>
      <c r="AZ668" s="124"/>
      <c r="BA668" s="124"/>
      <c r="BB668" s="124"/>
      <c r="BC668" s="124"/>
      <c r="BD668" s="124"/>
      <c r="BE668" s="124"/>
      <c r="BF668" s="124"/>
      <c r="BG668" s="124"/>
      <c r="BH668" s="124"/>
      <c r="BI668" s="124"/>
      <c r="BJ668" s="124"/>
      <c r="BK668" s="124"/>
      <c r="BL668" s="124"/>
      <c r="BM668" s="124"/>
      <c r="BN668" s="124"/>
      <c r="BO668" s="124"/>
      <c r="BP668" s="124"/>
    </row>
    <row r="669" spans="1:68" hidden="1" x14ac:dyDescent="0.25">
      <c r="B669" s="489"/>
      <c r="C669" s="489" t="s">
        <v>363</v>
      </c>
      <c r="D669" s="21" t="s">
        <v>200</v>
      </c>
      <c r="E669" s="13"/>
      <c r="F669" s="29">
        <f>F664</f>
        <v>3692.6595744680849</v>
      </c>
      <c r="G669" s="2"/>
      <c r="H669" s="2"/>
      <c r="I669" s="2"/>
      <c r="J669" s="58"/>
      <c r="K669" s="124"/>
      <c r="L669" s="124"/>
      <c r="M669" s="124"/>
      <c r="N669" s="124"/>
      <c r="O669" s="124"/>
      <c r="P669" s="124"/>
      <c r="Q669" s="124"/>
      <c r="R669" s="124"/>
      <c r="S669" s="124"/>
      <c r="T669" s="124"/>
      <c r="U669" s="124"/>
      <c r="V669" s="124"/>
      <c r="W669" s="124"/>
      <c r="X669" s="124"/>
      <c r="Y669" s="124"/>
      <c r="Z669" s="124"/>
      <c r="AA669" s="124"/>
      <c r="AB669" s="124"/>
      <c r="AC669" s="124"/>
      <c r="AD669" s="124"/>
      <c r="AE669" s="124"/>
      <c r="AF669" s="124"/>
      <c r="AG669" s="124"/>
      <c r="AH669" s="124"/>
      <c r="AI669" s="124"/>
      <c r="AJ669" s="124"/>
      <c r="AK669" s="124"/>
      <c r="AL669" s="124"/>
      <c r="AM669" s="124"/>
      <c r="AN669" s="124"/>
      <c r="AO669" s="124"/>
      <c r="AP669" s="124"/>
      <c r="AQ669" s="124"/>
      <c r="AR669" s="124"/>
      <c r="AS669" s="124"/>
      <c r="AT669" s="124"/>
      <c r="AU669" s="124"/>
      <c r="AV669" s="124"/>
      <c r="AW669" s="124"/>
      <c r="AX669" s="124"/>
      <c r="AY669" s="124"/>
      <c r="AZ669" s="124"/>
      <c r="BA669" s="124"/>
      <c r="BB669" s="124"/>
      <c r="BC669" s="124"/>
      <c r="BD669" s="124"/>
      <c r="BE669" s="124"/>
      <c r="BF669" s="124"/>
      <c r="BG669" s="124"/>
      <c r="BH669" s="124"/>
      <c r="BI669" s="124"/>
      <c r="BJ669" s="124"/>
      <c r="BK669" s="124"/>
      <c r="BL669" s="124"/>
      <c r="BM669" s="124"/>
      <c r="BN669" s="124"/>
      <c r="BO669" s="124"/>
      <c r="BP669" s="124"/>
    </row>
    <row r="670" spans="1:68" hidden="1" x14ac:dyDescent="0.25">
      <c r="B670" s="489"/>
      <c r="C670" s="489" t="s">
        <v>363</v>
      </c>
      <c r="D670" s="22" t="s">
        <v>109</v>
      </c>
      <c r="E670" s="13"/>
      <c r="F670" s="29">
        <f>F668+F666/4.2</f>
        <v>10254.523809523809</v>
      </c>
      <c r="G670" s="2"/>
      <c r="H670" s="2"/>
      <c r="I670" s="2"/>
      <c r="J670" s="58"/>
      <c r="K670" s="124"/>
      <c r="L670" s="124"/>
      <c r="M670" s="124"/>
      <c r="N670" s="124"/>
      <c r="O670" s="124"/>
      <c r="P670" s="124"/>
      <c r="Q670" s="124"/>
      <c r="R670" s="124"/>
      <c r="S670" s="124"/>
      <c r="T670" s="124"/>
      <c r="U670" s="124"/>
      <c r="V670" s="124"/>
      <c r="W670" s="124"/>
      <c r="X670" s="124"/>
      <c r="Y670" s="124"/>
      <c r="Z670" s="124"/>
      <c r="AA670" s="124"/>
      <c r="AB670" s="124"/>
      <c r="AC670" s="124"/>
      <c r="AD670" s="124"/>
      <c r="AE670" s="124"/>
      <c r="AF670" s="124"/>
      <c r="AG670" s="124"/>
      <c r="AH670" s="124"/>
      <c r="AI670" s="124"/>
      <c r="AJ670" s="124"/>
      <c r="AK670" s="124"/>
      <c r="AL670" s="124"/>
      <c r="AM670" s="124"/>
      <c r="AN670" s="124"/>
      <c r="AO670" s="124"/>
      <c r="AP670" s="124"/>
      <c r="AQ670" s="124"/>
      <c r="AR670" s="124"/>
      <c r="AS670" s="124"/>
      <c r="AT670" s="124"/>
      <c r="AU670" s="124"/>
      <c r="AV670" s="124"/>
      <c r="AW670" s="124"/>
      <c r="AX670" s="124"/>
      <c r="AY670" s="124"/>
      <c r="AZ670" s="124"/>
      <c r="BA670" s="124"/>
      <c r="BB670" s="124"/>
      <c r="BC670" s="124"/>
      <c r="BD670" s="124"/>
      <c r="BE670" s="124"/>
      <c r="BF670" s="124"/>
      <c r="BG670" s="124"/>
      <c r="BH670" s="124"/>
      <c r="BI670" s="124"/>
      <c r="BJ670" s="124"/>
      <c r="BK670" s="124"/>
      <c r="BL670" s="124"/>
      <c r="BM670" s="124"/>
      <c r="BN670" s="124"/>
      <c r="BO670" s="124"/>
      <c r="BP670" s="124"/>
    </row>
    <row r="671" spans="1:68" ht="15.75" hidden="1" thickBot="1" x14ac:dyDescent="0.3">
      <c r="B671" s="489"/>
      <c r="C671" s="489" t="s">
        <v>363</v>
      </c>
      <c r="D671" s="644" t="s">
        <v>220</v>
      </c>
      <c r="E671" s="645"/>
      <c r="F671" s="645"/>
      <c r="G671" s="645"/>
      <c r="H671" s="645"/>
      <c r="I671" s="645"/>
      <c r="J671" s="124"/>
      <c r="K671" s="124"/>
      <c r="L671" s="124"/>
      <c r="M671" s="124"/>
      <c r="N671" s="124"/>
      <c r="O671" s="124"/>
      <c r="P671" s="124"/>
      <c r="Q671" s="124"/>
      <c r="R671" s="124"/>
      <c r="S671" s="124"/>
      <c r="T671" s="124"/>
      <c r="U671" s="124"/>
      <c r="V671" s="124"/>
      <c r="W671" s="124"/>
      <c r="X671" s="124"/>
      <c r="Y671" s="124"/>
      <c r="Z671" s="124"/>
      <c r="AA671" s="124"/>
      <c r="AB671" s="124"/>
      <c r="AC671" s="124"/>
      <c r="AD671" s="124"/>
      <c r="AE671" s="124"/>
      <c r="AF671" s="124"/>
      <c r="AG671" s="124"/>
      <c r="AH671" s="124"/>
      <c r="AI671" s="124"/>
      <c r="AJ671" s="124"/>
      <c r="AK671" s="124"/>
      <c r="AL671" s="124"/>
      <c r="AM671" s="124"/>
      <c r="AN671" s="124"/>
      <c r="AO671" s="124"/>
      <c r="AP671" s="124"/>
      <c r="AQ671" s="124"/>
      <c r="AR671" s="124"/>
      <c r="AS671" s="124"/>
      <c r="AT671" s="124"/>
      <c r="AU671" s="124"/>
      <c r="AV671" s="124"/>
      <c r="AW671" s="124"/>
      <c r="AX671" s="124"/>
      <c r="AY671" s="124"/>
      <c r="AZ671" s="124"/>
      <c r="BA671" s="124"/>
      <c r="BB671" s="124"/>
      <c r="BC671" s="124"/>
      <c r="BD671" s="124"/>
      <c r="BE671" s="124"/>
      <c r="BF671" s="124"/>
      <c r="BG671" s="124"/>
      <c r="BH671" s="124"/>
      <c r="BI671" s="124"/>
      <c r="BJ671" s="124"/>
      <c r="BK671" s="124"/>
      <c r="BL671" s="124"/>
      <c r="BM671" s="124"/>
      <c r="BN671" s="124"/>
      <c r="BO671" s="124"/>
      <c r="BP671" s="124"/>
    </row>
    <row r="672" spans="1:68" s="379" customFormat="1" hidden="1" x14ac:dyDescent="0.25">
      <c r="A672" s="104">
        <v>1</v>
      </c>
      <c r="B672" s="104"/>
      <c r="C672" s="489" t="s">
        <v>363</v>
      </c>
      <c r="D672" s="217"/>
      <c r="E672" s="610"/>
      <c r="F672" s="2"/>
      <c r="G672" s="2"/>
      <c r="H672" s="2"/>
      <c r="I672" s="2"/>
      <c r="J672" s="124"/>
      <c r="K672" s="124"/>
      <c r="L672" s="124"/>
      <c r="M672" s="124"/>
      <c r="N672" s="124"/>
      <c r="O672" s="124"/>
      <c r="P672" s="124"/>
      <c r="Q672" s="124"/>
      <c r="R672" s="124"/>
      <c r="S672" s="124"/>
      <c r="T672" s="124"/>
      <c r="U672" s="124"/>
      <c r="V672" s="124"/>
      <c r="W672" s="124"/>
      <c r="X672" s="124"/>
      <c r="Y672" s="124"/>
      <c r="Z672" s="124"/>
      <c r="AA672" s="124"/>
      <c r="AB672" s="124"/>
      <c r="AC672" s="124"/>
      <c r="AD672" s="124"/>
      <c r="AE672" s="124"/>
      <c r="AF672" s="124"/>
      <c r="AG672" s="124"/>
      <c r="AH672" s="124"/>
      <c r="AI672" s="124"/>
      <c r="AJ672" s="124"/>
      <c r="AK672" s="124"/>
      <c r="AL672" s="124"/>
      <c r="AM672" s="124"/>
      <c r="AN672" s="124"/>
      <c r="AO672" s="124"/>
      <c r="AP672" s="124"/>
      <c r="AQ672" s="124"/>
      <c r="AR672" s="124"/>
      <c r="AS672" s="124"/>
      <c r="AT672" s="124"/>
      <c r="AU672" s="124"/>
      <c r="AV672" s="124"/>
      <c r="AW672" s="124"/>
      <c r="AX672" s="124"/>
      <c r="AY672" s="124"/>
      <c r="AZ672" s="124"/>
      <c r="BA672" s="124"/>
      <c r="BB672" s="124"/>
      <c r="BC672" s="124"/>
      <c r="BD672" s="124"/>
      <c r="BE672" s="124"/>
      <c r="BF672" s="124"/>
      <c r="BG672" s="124"/>
      <c r="BH672" s="124"/>
      <c r="BI672" s="124"/>
      <c r="BJ672" s="124"/>
      <c r="BK672" s="124"/>
      <c r="BL672" s="124"/>
      <c r="BM672" s="124"/>
      <c r="BN672" s="124"/>
      <c r="BO672" s="124"/>
      <c r="BP672" s="124"/>
    </row>
    <row r="673" spans="1:68" ht="31.5" hidden="1" x14ac:dyDescent="0.25">
      <c r="A673" s="104">
        <v>1</v>
      </c>
      <c r="B673" s="109" t="s">
        <v>278</v>
      </c>
      <c r="C673" s="489" t="s">
        <v>363</v>
      </c>
      <c r="D673" s="678" t="s">
        <v>428</v>
      </c>
      <c r="E673" s="190"/>
      <c r="F673" s="2"/>
      <c r="G673" s="2"/>
      <c r="H673" s="2"/>
      <c r="I673" s="2"/>
      <c r="J673" s="124"/>
      <c r="K673" s="124"/>
      <c r="L673" s="124"/>
      <c r="M673" s="124"/>
      <c r="N673" s="124"/>
      <c r="O673" s="124"/>
      <c r="P673" s="124"/>
      <c r="Q673" s="124"/>
      <c r="R673" s="124"/>
      <c r="S673" s="124"/>
      <c r="T673" s="124"/>
      <c r="U673" s="124"/>
      <c r="V673" s="124"/>
      <c r="W673" s="124"/>
      <c r="X673" s="124"/>
      <c r="Y673" s="124"/>
      <c r="Z673" s="124"/>
      <c r="AA673" s="124"/>
      <c r="AB673" s="124"/>
      <c r="AC673" s="124"/>
      <c r="AD673" s="124"/>
      <c r="AE673" s="124"/>
      <c r="AF673" s="124"/>
      <c r="AG673" s="124"/>
      <c r="AH673" s="124"/>
      <c r="AI673" s="124"/>
      <c r="AJ673" s="124"/>
      <c r="AK673" s="124"/>
      <c r="AL673" s="124"/>
      <c r="AM673" s="124"/>
      <c r="AN673" s="124"/>
      <c r="AO673" s="124"/>
      <c r="AP673" s="124"/>
      <c r="AQ673" s="124"/>
      <c r="AR673" s="124"/>
      <c r="AS673" s="124"/>
      <c r="AT673" s="124"/>
      <c r="AU673" s="124"/>
      <c r="AV673" s="124"/>
      <c r="AW673" s="124"/>
      <c r="AX673" s="124"/>
      <c r="AY673" s="124"/>
      <c r="AZ673" s="124"/>
      <c r="BA673" s="124"/>
      <c r="BB673" s="124"/>
      <c r="BC673" s="124"/>
      <c r="BD673" s="124"/>
      <c r="BE673" s="124"/>
      <c r="BF673" s="124"/>
      <c r="BG673" s="124"/>
      <c r="BH673" s="124"/>
      <c r="BI673" s="124"/>
      <c r="BJ673" s="124"/>
      <c r="BK673" s="124"/>
      <c r="BL673" s="124"/>
      <c r="BM673" s="124"/>
      <c r="BN673" s="124"/>
      <c r="BO673" s="124"/>
      <c r="BP673" s="124"/>
    </row>
    <row r="674" spans="1:68" hidden="1" x14ac:dyDescent="0.25">
      <c r="A674" s="104">
        <v>1</v>
      </c>
      <c r="B674" s="109" t="s">
        <v>278</v>
      </c>
      <c r="C674" s="489" t="s">
        <v>363</v>
      </c>
      <c r="D674" s="12" t="s">
        <v>108</v>
      </c>
      <c r="E674" s="13"/>
      <c r="F674" s="2"/>
      <c r="G674" s="2"/>
      <c r="H674" s="2"/>
      <c r="I674" s="2"/>
      <c r="J674" s="124"/>
      <c r="K674" s="124"/>
      <c r="L674" s="124"/>
      <c r="M674" s="124"/>
      <c r="N674" s="124"/>
      <c r="O674" s="124"/>
      <c r="P674" s="124"/>
      <c r="Q674" s="124"/>
      <c r="R674" s="124"/>
      <c r="S674" s="124"/>
      <c r="T674" s="124"/>
      <c r="U674" s="124"/>
      <c r="V674" s="124"/>
      <c r="W674" s="124"/>
      <c r="X674" s="124"/>
      <c r="Y674" s="124"/>
      <c r="Z674" s="124"/>
      <c r="AA674" s="124"/>
      <c r="AB674" s="124"/>
      <c r="AC674" s="124"/>
      <c r="AD674" s="124"/>
      <c r="AE674" s="124"/>
      <c r="AF674" s="124"/>
      <c r="AG674" s="124"/>
      <c r="AH674" s="124"/>
      <c r="AI674" s="124"/>
      <c r="AJ674" s="124"/>
      <c r="AK674" s="124"/>
      <c r="AL674" s="124"/>
      <c r="AM674" s="124"/>
      <c r="AN674" s="124"/>
      <c r="AO674" s="124"/>
      <c r="AP674" s="124"/>
      <c r="AQ674" s="124"/>
      <c r="AR674" s="124"/>
      <c r="AS674" s="124"/>
      <c r="AT674" s="124"/>
      <c r="AU674" s="124"/>
      <c r="AV674" s="124"/>
      <c r="AW674" s="124"/>
      <c r="AX674" s="124"/>
      <c r="AY674" s="124"/>
      <c r="AZ674" s="124"/>
      <c r="BA674" s="124"/>
      <c r="BB674" s="124"/>
      <c r="BC674" s="124"/>
      <c r="BD674" s="124"/>
      <c r="BE674" s="124"/>
      <c r="BF674" s="124"/>
      <c r="BG674" s="124"/>
      <c r="BH674" s="124"/>
      <c r="BI674" s="124"/>
      <c r="BJ674" s="124"/>
      <c r="BK674" s="124"/>
      <c r="BL674" s="124"/>
      <c r="BM674" s="124"/>
      <c r="BN674" s="124"/>
      <c r="BO674" s="124"/>
      <c r="BP674" s="124"/>
    </row>
    <row r="675" spans="1:68" hidden="1" x14ac:dyDescent="0.25">
      <c r="B675" s="109" t="s">
        <v>278</v>
      </c>
      <c r="C675" s="489" t="s">
        <v>363</v>
      </c>
      <c r="D675" s="12" t="s">
        <v>96</v>
      </c>
      <c r="E675" s="13"/>
      <c r="F675" s="2"/>
      <c r="G675" s="2"/>
      <c r="H675" s="2"/>
      <c r="I675" s="2"/>
      <c r="J675" s="124"/>
      <c r="K675" s="124"/>
      <c r="L675" s="124"/>
      <c r="M675" s="124"/>
      <c r="N675" s="124"/>
      <c r="O675" s="124"/>
      <c r="P675" s="124"/>
      <c r="Q675" s="124"/>
      <c r="R675" s="124"/>
      <c r="S675" s="124"/>
      <c r="T675" s="124"/>
      <c r="U675" s="124"/>
      <c r="V675" s="124"/>
      <c r="W675" s="124"/>
      <c r="X675" s="124"/>
      <c r="Y675" s="124"/>
      <c r="Z675" s="124"/>
      <c r="AA675" s="124"/>
      <c r="AB675" s="124"/>
      <c r="AC675" s="124"/>
      <c r="AD675" s="124"/>
      <c r="AE675" s="124"/>
      <c r="AF675" s="124"/>
      <c r="AG675" s="124"/>
      <c r="AH675" s="124"/>
      <c r="AI675" s="124"/>
      <c r="AJ675" s="124"/>
      <c r="AK675" s="124"/>
      <c r="AL675" s="124"/>
      <c r="AM675" s="124"/>
      <c r="AN675" s="124"/>
      <c r="AO675" s="124"/>
      <c r="AP675" s="124"/>
      <c r="AQ675" s="124"/>
      <c r="AR675" s="124"/>
      <c r="AS675" s="124"/>
      <c r="AT675" s="124"/>
      <c r="AU675" s="124"/>
      <c r="AV675" s="124"/>
      <c r="AW675" s="124"/>
      <c r="AX675" s="124"/>
      <c r="AY675" s="124"/>
      <c r="AZ675" s="124"/>
      <c r="BA675" s="124"/>
      <c r="BB675" s="124"/>
      <c r="BC675" s="124"/>
      <c r="BD675" s="124"/>
      <c r="BE675" s="124"/>
      <c r="BF675" s="124"/>
      <c r="BG675" s="124"/>
      <c r="BH675" s="124"/>
      <c r="BI675" s="124"/>
      <c r="BJ675" s="124"/>
      <c r="BK675" s="124"/>
      <c r="BL675" s="124"/>
      <c r="BM675" s="124"/>
      <c r="BN675" s="124"/>
      <c r="BO675" s="124"/>
      <c r="BP675" s="124"/>
    </row>
    <row r="676" spans="1:68" hidden="1" x14ac:dyDescent="0.25">
      <c r="B676" s="109" t="s">
        <v>278</v>
      </c>
      <c r="C676" s="489" t="s">
        <v>363</v>
      </c>
      <c r="D676" s="14" t="s">
        <v>296</v>
      </c>
      <c r="E676" s="13"/>
      <c r="F676" s="2">
        <f>F677</f>
        <v>10766</v>
      </c>
      <c r="G676" s="2"/>
      <c r="H676" s="2"/>
      <c r="I676" s="2"/>
      <c r="J676" s="58"/>
      <c r="K676" s="124"/>
      <c r="L676" s="124"/>
      <c r="M676" s="124"/>
      <c r="N676" s="124"/>
      <c r="O676" s="124"/>
      <c r="P676" s="124"/>
      <c r="Q676" s="124"/>
      <c r="R676" s="124"/>
      <c r="S676" s="124"/>
      <c r="T676" s="124"/>
      <c r="U676" s="124"/>
      <c r="V676" s="124"/>
      <c r="W676" s="124"/>
      <c r="X676" s="124"/>
      <c r="Y676" s="124"/>
      <c r="Z676" s="124"/>
      <c r="AA676" s="124"/>
      <c r="AB676" s="124"/>
      <c r="AC676" s="124"/>
      <c r="AD676" s="124"/>
      <c r="AE676" s="124"/>
      <c r="AF676" s="124"/>
      <c r="AG676" s="124"/>
      <c r="AH676" s="124"/>
      <c r="AI676" s="124"/>
      <c r="AJ676" s="124"/>
      <c r="AK676" s="124"/>
      <c r="AL676" s="124"/>
      <c r="AM676" s="124"/>
      <c r="AN676" s="124"/>
      <c r="AO676" s="124"/>
      <c r="AP676" s="124"/>
      <c r="AQ676" s="124"/>
      <c r="AR676" s="124"/>
      <c r="AS676" s="124"/>
      <c r="AT676" s="124"/>
      <c r="AU676" s="124"/>
      <c r="AV676" s="124"/>
      <c r="AW676" s="124"/>
      <c r="AX676" s="124"/>
      <c r="AY676" s="124"/>
      <c r="AZ676" s="124"/>
      <c r="BA676" s="124"/>
      <c r="BB676" s="124"/>
      <c r="BC676" s="124"/>
      <c r="BD676" s="124"/>
      <c r="BE676" s="124"/>
      <c r="BF676" s="124"/>
      <c r="BG676" s="124"/>
      <c r="BH676" s="124"/>
      <c r="BI676" s="124"/>
      <c r="BJ676" s="124"/>
      <c r="BK676" s="124"/>
      <c r="BL676" s="124"/>
      <c r="BM676" s="124"/>
      <c r="BN676" s="124"/>
      <c r="BO676" s="124"/>
      <c r="BP676" s="124"/>
    </row>
    <row r="677" spans="1:68" ht="30" hidden="1" x14ac:dyDescent="0.25">
      <c r="B677" s="109" t="s">
        <v>278</v>
      </c>
      <c r="C677" s="489" t="s">
        <v>363</v>
      </c>
      <c r="D677" s="266" t="s">
        <v>298</v>
      </c>
      <c r="E677" s="13"/>
      <c r="F677" s="2">
        <f>F678/4</f>
        <v>10766</v>
      </c>
      <c r="G677" s="2"/>
      <c r="H677" s="2"/>
      <c r="I677" s="2"/>
      <c r="J677" s="58"/>
      <c r="K677" s="124"/>
      <c r="L677" s="124"/>
      <c r="M677" s="124"/>
      <c r="N677" s="124"/>
      <c r="O677" s="124"/>
      <c r="P677" s="124"/>
      <c r="Q677" s="124"/>
      <c r="R677" s="124"/>
      <c r="S677" s="124"/>
      <c r="T677" s="124"/>
      <c r="U677" s="124"/>
      <c r="V677" s="124"/>
      <c r="W677" s="124"/>
      <c r="X677" s="124"/>
      <c r="Y677" s="124"/>
      <c r="Z677" s="124"/>
      <c r="AA677" s="124"/>
      <c r="AB677" s="124"/>
      <c r="AC677" s="124"/>
      <c r="AD677" s="124"/>
      <c r="AE677" s="124"/>
      <c r="AF677" s="124"/>
      <c r="AG677" s="124"/>
      <c r="AH677" s="124"/>
      <c r="AI677" s="124"/>
      <c r="AJ677" s="124"/>
      <c r="AK677" s="124"/>
      <c r="AL677" s="124"/>
      <c r="AM677" s="124"/>
      <c r="AN677" s="124"/>
      <c r="AO677" s="124"/>
      <c r="AP677" s="124"/>
      <c r="AQ677" s="124"/>
      <c r="AR677" s="124"/>
      <c r="AS677" s="124"/>
      <c r="AT677" s="124"/>
      <c r="AU677" s="124"/>
      <c r="AV677" s="124"/>
      <c r="AW677" s="124"/>
      <c r="AX677" s="124"/>
      <c r="AY677" s="124"/>
      <c r="AZ677" s="124"/>
      <c r="BA677" s="124"/>
      <c r="BB677" s="124"/>
      <c r="BC677" s="124"/>
      <c r="BD677" s="124"/>
      <c r="BE677" s="124"/>
      <c r="BF677" s="124"/>
      <c r="BG677" s="124"/>
      <c r="BH677" s="124"/>
      <c r="BI677" s="124"/>
      <c r="BJ677" s="124"/>
      <c r="BK677" s="124"/>
      <c r="BL677" s="124"/>
      <c r="BM677" s="124"/>
      <c r="BN677" s="124"/>
      <c r="BO677" s="124"/>
      <c r="BP677" s="124"/>
    </row>
    <row r="678" spans="1:68" ht="30" hidden="1" x14ac:dyDescent="0.25">
      <c r="B678" s="109" t="s">
        <v>278</v>
      </c>
      <c r="C678" s="489" t="s">
        <v>363</v>
      </c>
      <c r="D678" s="15" t="s">
        <v>300</v>
      </c>
      <c r="E678" s="13"/>
      <c r="F678" s="2">
        <v>43064</v>
      </c>
      <c r="G678" s="2"/>
      <c r="H678" s="2"/>
      <c r="I678" s="2"/>
      <c r="J678" s="58"/>
      <c r="K678" s="124"/>
      <c r="L678" s="124"/>
      <c r="M678" s="124"/>
      <c r="N678" s="124"/>
      <c r="O678" s="124"/>
      <c r="P678" s="124"/>
      <c r="Q678" s="124"/>
      <c r="R678" s="124"/>
      <c r="S678" s="124"/>
      <c r="T678" s="124"/>
      <c r="U678" s="124"/>
      <c r="V678" s="124"/>
      <c r="W678" s="124"/>
      <c r="X678" s="124"/>
      <c r="Y678" s="124"/>
      <c r="Z678" s="124"/>
      <c r="AA678" s="124"/>
      <c r="AB678" s="124"/>
      <c r="AC678" s="124"/>
      <c r="AD678" s="124"/>
      <c r="AE678" s="124"/>
      <c r="AF678" s="124"/>
      <c r="AG678" s="124"/>
      <c r="AH678" s="124"/>
      <c r="AI678" s="124"/>
      <c r="AJ678" s="124"/>
      <c r="AK678" s="124"/>
      <c r="AL678" s="124"/>
      <c r="AM678" s="124"/>
      <c r="AN678" s="124"/>
      <c r="AO678" s="124"/>
      <c r="AP678" s="124"/>
      <c r="AQ678" s="124"/>
      <c r="AR678" s="124"/>
      <c r="AS678" s="124"/>
      <c r="AT678" s="124"/>
      <c r="AU678" s="124"/>
      <c r="AV678" s="124"/>
      <c r="AW678" s="124"/>
      <c r="AX678" s="124"/>
      <c r="AY678" s="124"/>
      <c r="AZ678" s="124"/>
      <c r="BA678" s="124"/>
      <c r="BB678" s="124"/>
      <c r="BC678" s="124"/>
      <c r="BD678" s="124"/>
      <c r="BE678" s="124"/>
      <c r="BF678" s="124"/>
      <c r="BG678" s="124"/>
      <c r="BH678" s="124"/>
      <c r="BI678" s="124"/>
      <c r="BJ678" s="124"/>
      <c r="BK678" s="124"/>
      <c r="BL678" s="124"/>
      <c r="BM678" s="124"/>
      <c r="BN678" s="124"/>
      <c r="BO678" s="124"/>
      <c r="BP678" s="124"/>
    </row>
    <row r="679" spans="1:68" hidden="1" x14ac:dyDescent="0.25">
      <c r="B679" s="109" t="s">
        <v>278</v>
      </c>
      <c r="C679" s="489" t="s">
        <v>363</v>
      </c>
      <c r="D679" s="14" t="s">
        <v>303</v>
      </c>
      <c r="E679" s="13"/>
      <c r="F679" s="2">
        <f>F680</f>
        <v>19308.510638297874</v>
      </c>
      <c r="G679" s="2"/>
      <c r="H679" s="2"/>
      <c r="I679" s="2"/>
      <c r="J679" s="58"/>
      <c r="K679" s="124"/>
      <c r="L679" s="124"/>
      <c r="M679" s="124"/>
      <c r="N679" s="124"/>
      <c r="O679" s="124"/>
      <c r="P679" s="124"/>
      <c r="Q679" s="124"/>
      <c r="R679" s="124"/>
      <c r="S679" s="124"/>
      <c r="T679" s="124"/>
      <c r="U679" s="124"/>
      <c r="V679" s="124"/>
      <c r="W679" s="124"/>
      <c r="X679" s="124"/>
      <c r="Y679" s="124"/>
      <c r="Z679" s="124"/>
      <c r="AA679" s="124"/>
      <c r="AB679" s="124"/>
      <c r="AC679" s="124"/>
      <c r="AD679" s="124"/>
      <c r="AE679" s="124"/>
      <c r="AF679" s="124"/>
      <c r="AG679" s="124"/>
      <c r="AH679" s="124"/>
      <c r="AI679" s="124"/>
      <c r="AJ679" s="124"/>
      <c r="AK679" s="124"/>
      <c r="AL679" s="124"/>
      <c r="AM679" s="124"/>
      <c r="AN679" s="124"/>
      <c r="AO679" s="124"/>
      <c r="AP679" s="124"/>
      <c r="AQ679" s="124"/>
      <c r="AR679" s="124"/>
      <c r="AS679" s="124"/>
      <c r="AT679" s="124"/>
      <c r="AU679" s="124"/>
      <c r="AV679" s="124"/>
      <c r="AW679" s="124"/>
      <c r="AX679" s="124"/>
      <c r="AY679" s="124"/>
      <c r="AZ679" s="124"/>
      <c r="BA679" s="124"/>
      <c r="BB679" s="124"/>
      <c r="BC679" s="124"/>
      <c r="BD679" s="124"/>
      <c r="BE679" s="124"/>
      <c r="BF679" s="124"/>
      <c r="BG679" s="124"/>
      <c r="BH679" s="124"/>
      <c r="BI679" s="124"/>
      <c r="BJ679" s="124"/>
      <c r="BK679" s="124"/>
      <c r="BL679" s="124"/>
      <c r="BM679" s="124"/>
      <c r="BN679" s="124"/>
      <c r="BO679" s="124"/>
      <c r="BP679" s="124"/>
    </row>
    <row r="680" spans="1:68" hidden="1" x14ac:dyDescent="0.25">
      <c r="B680" s="109" t="s">
        <v>278</v>
      </c>
      <c r="C680" s="489" t="s">
        <v>363</v>
      </c>
      <c r="D680" s="15" t="s">
        <v>305</v>
      </c>
      <c r="E680" s="13"/>
      <c r="F680" s="2">
        <f>F681/9.4+F682/9.4</f>
        <v>19308.510638297874</v>
      </c>
      <c r="G680" s="2"/>
      <c r="H680" s="2"/>
      <c r="I680" s="2"/>
      <c r="J680" s="58"/>
      <c r="K680" s="124"/>
      <c r="L680" s="124"/>
      <c r="M680" s="124"/>
      <c r="N680" s="124"/>
      <c r="O680" s="124"/>
      <c r="P680" s="124"/>
      <c r="Q680" s="124"/>
      <c r="R680" s="124"/>
      <c r="S680" s="124"/>
      <c r="T680" s="124"/>
      <c r="U680" s="124"/>
      <c r="V680" s="124"/>
      <c r="W680" s="124"/>
      <c r="X680" s="124"/>
      <c r="Y680" s="124"/>
      <c r="Z680" s="124"/>
      <c r="AA680" s="124"/>
      <c r="AB680" s="124"/>
      <c r="AC680" s="124"/>
      <c r="AD680" s="124"/>
      <c r="AE680" s="124"/>
      <c r="AF680" s="124"/>
      <c r="AG680" s="124"/>
      <c r="AH680" s="124"/>
      <c r="AI680" s="124"/>
      <c r="AJ680" s="124"/>
      <c r="AK680" s="124"/>
      <c r="AL680" s="124"/>
      <c r="AM680" s="124"/>
      <c r="AN680" s="124"/>
      <c r="AO680" s="124"/>
      <c r="AP680" s="124"/>
      <c r="AQ680" s="124"/>
      <c r="AR680" s="124"/>
      <c r="AS680" s="124"/>
      <c r="AT680" s="124"/>
      <c r="AU680" s="124"/>
      <c r="AV680" s="124"/>
      <c r="AW680" s="124"/>
      <c r="AX680" s="124"/>
      <c r="AY680" s="124"/>
      <c r="AZ680" s="124"/>
      <c r="BA680" s="124"/>
      <c r="BB680" s="124"/>
      <c r="BC680" s="124"/>
      <c r="BD680" s="124"/>
      <c r="BE680" s="124"/>
      <c r="BF680" s="124"/>
      <c r="BG680" s="124"/>
      <c r="BH680" s="124"/>
      <c r="BI680" s="124"/>
      <c r="BJ680" s="124"/>
      <c r="BK680" s="124"/>
      <c r="BL680" s="124"/>
      <c r="BM680" s="124"/>
      <c r="BN680" s="124"/>
      <c r="BO680" s="124"/>
      <c r="BP680" s="124"/>
    </row>
    <row r="681" spans="1:68" hidden="1" x14ac:dyDescent="0.25">
      <c r="B681" s="109" t="s">
        <v>278</v>
      </c>
      <c r="C681" s="489" t="s">
        <v>363</v>
      </c>
      <c r="D681" s="42" t="s">
        <v>314</v>
      </c>
      <c r="E681" s="13"/>
      <c r="F681" s="2">
        <v>177500</v>
      </c>
      <c r="G681" s="2"/>
      <c r="H681" s="2"/>
      <c r="I681" s="2"/>
      <c r="J681" s="58"/>
      <c r="K681" s="124"/>
      <c r="L681" s="124"/>
      <c r="M681" s="124"/>
      <c r="N681" s="124"/>
      <c r="O681" s="124"/>
      <c r="P681" s="124"/>
      <c r="Q681" s="124"/>
      <c r="R681" s="124"/>
      <c r="S681" s="124"/>
      <c r="T681" s="124"/>
      <c r="U681" s="124"/>
      <c r="V681" s="124"/>
      <c r="W681" s="124"/>
      <c r="X681" s="124"/>
      <c r="Y681" s="124"/>
      <c r="Z681" s="124"/>
      <c r="AA681" s="124"/>
      <c r="AB681" s="124"/>
      <c r="AC681" s="124"/>
      <c r="AD681" s="124"/>
      <c r="AE681" s="124"/>
      <c r="AF681" s="124"/>
      <c r="AG681" s="124"/>
      <c r="AH681" s="124"/>
      <c r="AI681" s="124"/>
      <c r="AJ681" s="124"/>
      <c r="AK681" s="124"/>
      <c r="AL681" s="124"/>
      <c r="AM681" s="124"/>
      <c r="AN681" s="124"/>
      <c r="AO681" s="124"/>
      <c r="AP681" s="124"/>
      <c r="AQ681" s="124"/>
      <c r="AR681" s="124"/>
      <c r="AS681" s="124"/>
      <c r="AT681" s="124"/>
      <c r="AU681" s="124"/>
      <c r="AV681" s="124"/>
      <c r="AW681" s="124"/>
      <c r="AX681" s="124"/>
      <c r="AY681" s="124"/>
      <c r="AZ681" s="124"/>
      <c r="BA681" s="124"/>
      <c r="BB681" s="124"/>
      <c r="BC681" s="124"/>
      <c r="BD681" s="124"/>
      <c r="BE681" s="124"/>
      <c r="BF681" s="124"/>
      <c r="BG681" s="124"/>
      <c r="BH681" s="124"/>
      <c r="BI681" s="124"/>
      <c r="BJ681" s="124"/>
      <c r="BK681" s="124"/>
      <c r="BL681" s="124"/>
      <c r="BM681" s="124"/>
      <c r="BN681" s="124"/>
      <c r="BO681" s="124"/>
      <c r="BP681" s="124"/>
    </row>
    <row r="682" spans="1:68" hidden="1" x14ac:dyDescent="0.25">
      <c r="A682" s="104">
        <v>1</v>
      </c>
      <c r="B682" s="109" t="s">
        <v>278</v>
      </c>
      <c r="C682" s="489" t="s">
        <v>363</v>
      </c>
      <c r="D682" s="42" t="s">
        <v>317</v>
      </c>
      <c r="E682" s="13"/>
      <c r="F682" s="2">
        <v>4000</v>
      </c>
      <c r="G682" s="2"/>
      <c r="H682" s="2"/>
      <c r="I682" s="2"/>
      <c r="J682" s="58"/>
      <c r="K682" s="124"/>
      <c r="L682" s="124"/>
      <c r="M682" s="124"/>
      <c r="N682" s="124"/>
      <c r="O682" s="124"/>
      <c r="P682" s="124"/>
      <c r="Q682" s="124"/>
      <c r="R682" s="124"/>
      <c r="S682" s="124"/>
      <c r="T682" s="124"/>
      <c r="U682" s="124"/>
      <c r="V682" s="124"/>
      <c r="W682" s="124"/>
      <c r="X682" s="124"/>
      <c r="Y682" s="124"/>
      <c r="Z682" s="124"/>
      <c r="AA682" s="124"/>
      <c r="AB682" s="124"/>
      <c r="AC682" s="124"/>
      <c r="AD682" s="124"/>
      <c r="AE682" s="124"/>
      <c r="AF682" s="124"/>
      <c r="AG682" s="124"/>
      <c r="AH682" s="124"/>
      <c r="AI682" s="124"/>
      <c r="AJ682" s="124"/>
      <c r="AK682" s="124"/>
      <c r="AL682" s="124"/>
      <c r="AM682" s="124"/>
      <c r="AN682" s="124"/>
      <c r="AO682" s="124"/>
      <c r="AP682" s="124"/>
      <c r="AQ682" s="124"/>
      <c r="AR682" s="124"/>
      <c r="AS682" s="124"/>
      <c r="AT682" s="124"/>
      <c r="AU682" s="124"/>
      <c r="AV682" s="124"/>
      <c r="AW682" s="124"/>
      <c r="AX682" s="124"/>
      <c r="AY682" s="124"/>
      <c r="AZ682" s="124"/>
      <c r="BA682" s="124"/>
      <c r="BB682" s="124"/>
      <c r="BC682" s="124"/>
      <c r="BD682" s="124"/>
      <c r="BE682" s="124"/>
      <c r="BF682" s="124"/>
      <c r="BG682" s="124"/>
      <c r="BH682" s="124"/>
      <c r="BI682" s="124"/>
      <c r="BJ682" s="124"/>
      <c r="BK682" s="124"/>
      <c r="BL682" s="124"/>
      <c r="BM682" s="124"/>
      <c r="BN682" s="124"/>
      <c r="BO682" s="124"/>
      <c r="BP682" s="124"/>
    </row>
    <row r="683" spans="1:68" hidden="1" x14ac:dyDescent="0.25">
      <c r="A683" s="104">
        <v>1</v>
      </c>
      <c r="B683" s="109" t="s">
        <v>278</v>
      </c>
      <c r="C683" s="489" t="s">
        <v>363</v>
      </c>
      <c r="D683" s="21" t="s">
        <v>198</v>
      </c>
      <c r="E683" s="24"/>
      <c r="F683" s="29">
        <f>F676</f>
        <v>10766</v>
      </c>
      <c r="G683" s="24"/>
      <c r="H683" s="24"/>
      <c r="I683" s="24"/>
      <c r="J683" s="58"/>
      <c r="K683" s="124"/>
      <c r="L683" s="124"/>
      <c r="M683" s="124"/>
      <c r="N683" s="124"/>
      <c r="O683" s="124"/>
      <c r="P683" s="124"/>
      <c r="Q683" s="124"/>
      <c r="R683" s="124"/>
      <c r="S683" s="124"/>
      <c r="T683" s="124"/>
      <c r="U683" s="124"/>
      <c r="V683" s="124"/>
      <c r="W683" s="124"/>
      <c r="X683" s="124"/>
      <c r="Y683" s="124"/>
      <c r="Z683" s="124"/>
      <c r="AA683" s="124"/>
      <c r="AB683" s="124"/>
      <c r="AC683" s="124"/>
      <c r="AD683" s="124"/>
      <c r="AE683" s="124"/>
      <c r="AF683" s="124"/>
      <c r="AG683" s="124"/>
      <c r="AH683" s="124"/>
      <c r="AI683" s="124"/>
      <c r="AJ683" s="124"/>
      <c r="AK683" s="124"/>
      <c r="AL683" s="124"/>
      <c r="AM683" s="124"/>
      <c r="AN683" s="124"/>
      <c r="AO683" s="124"/>
      <c r="AP683" s="124"/>
      <c r="AQ683" s="124"/>
      <c r="AR683" s="124"/>
      <c r="AS683" s="124"/>
      <c r="AT683" s="124"/>
      <c r="AU683" s="124"/>
      <c r="AV683" s="124"/>
      <c r="AW683" s="124"/>
      <c r="AX683" s="124"/>
      <c r="AY683" s="124"/>
      <c r="AZ683" s="124"/>
      <c r="BA683" s="124"/>
      <c r="BB683" s="124"/>
      <c r="BC683" s="124"/>
      <c r="BD683" s="124"/>
      <c r="BE683" s="124"/>
      <c r="BF683" s="124"/>
      <c r="BG683" s="124"/>
      <c r="BH683" s="124"/>
      <c r="BI683" s="124"/>
      <c r="BJ683" s="124"/>
      <c r="BK683" s="124"/>
      <c r="BL683" s="124"/>
      <c r="BM683" s="124"/>
      <c r="BN683" s="124"/>
      <c r="BO683" s="124"/>
      <c r="BP683" s="124"/>
    </row>
    <row r="684" spans="1:68" hidden="1" x14ac:dyDescent="0.25">
      <c r="A684" s="104">
        <v>1</v>
      </c>
      <c r="B684" s="109" t="s">
        <v>278</v>
      </c>
      <c r="C684" s="489" t="s">
        <v>363</v>
      </c>
      <c r="D684" s="21" t="s">
        <v>200</v>
      </c>
      <c r="E684" s="13"/>
      <c r="F684" s="29">
        <f>F679</f>
        <v>19308.510638297874</v>
      </c>
      <c r="G684" s="2"/>
      <c r="H684" s="2"/>
      <c r="I684" s="2"/>
      <c r="J684" s="58"/>
      <c r="K684" s="124"/>
      <c r="L684" s="124"/>
      <c r="M684" s="124"/>
      <c r="N684" s="124"/>
      <c r="O684" s="124"/>
      <c r="P684" s="124"/>
      <c r="Q684" s="124"/>
      <c r="R684" s="124"/>
      <c r="S684" s="124"/>
      <c r="T684" s="124"/>
      <c r="U684" s="124"/>
      <c r="V684" s="124"/>
      <c r="W684" s="124"/>
      <c r="X684" s="124"/>
      <c r="Y684" s="124"/>
      <c r="Z684" s="124"/>
      <c r="AA684" s="124"/>
      <c r="AB684" s="124"/>
      <c r="AC684" s="124"/>
      <c r="AD684" s="124"/>
      <c r="AE684" s="124"/>
      <c r="AF684" s="124"/>
      <c r="AG684" s="124"/>
      <c r="AH684" s="124"/>
      <c r="AI684" s="124"/>
      <c r="AJ684" s="124"/>
      <c r="AK684" s="124"/>
      <c r="AL684" s="124"/>
      <c r="AM684" s="124"/>
      <c r="AN684" s="124"/>
      <c r="AO684" s="124"/>
      <c r="AP684" s="124"/>
      <c r="AQ684" s="124"/>
      <c r="AR684" s="124"/>
      <c r="AS684" s="124"/>
      <c r="AT684" s="124"/>
      <c r="AU684" s="124"/>
      <c r="AV684" s="124"/>
      <c r="AW684" s="124"/>
      <c r="AX684" s="124"/>
      <c r="AY684" s="124"/>
      <c r="AZ684" s="124"/>
      <c r="BA684" s="124"/>
      <c r="BB684" s="124"/>
      <c r="BC684" s="124"/>
      <c r="BD684" s="124"/>
      <c r="BE684" s="124"/>
      <c r="BF684" s="124"/>
      <c r="BG684" s="124"/>
      <c r="BH684" s="124"/>
      <c r="BI684" s="124"/>
      <c r="BJ684" s="124"/>
      <c r="BK684" s="124"/>
      <c r="BL684" s="124"/>
      <c r="BM684" s="124"/>
      <c r="BN684" s="124"/>
      <c r="BO684" s="124"/>
      <c r="BP684" s="124"/>
    </row>
    <row r="685" spans="1:68" hidden="1" x14ac:dyDescent="0.25">
      <c r="A685" s="104">
        <v>1</v>
      </c>
      <c r="B685" s="109" t="s">
        <v>278</v>
      </c>
      <c r="C685" s="489" t="s">
        <v>363</v>
      </c>
      <c r="D685" s="22" t="s">
        <v>109</v>
      </c>
      <c r="E685" s="13"/>
      <c r="F685" s="29">
        <f>F683+(F681+F682)/4.2</f>
        <v>53980.28571428571</v>
      </c>
      <c r="G685" s="2"/>
      <c r="H685" s="2"/>
      <c r="I685" s="2"/>
      <c r="J685" s="58"/>
      <c r="K685" s="124"/>
      <c r="L685" s="124"/>
      <c r="M685" s="124"/>
      <c r="N685" s="124"/>
      <c r="O685" s="124"/>
      <c r="P685" s="124"/>
      <c r="Q685" s="124"/>
      <c r="R685" s="124"/>
      <c r="S685" s="124"/>
      <c r="T685" s="124"/>
      <c r="U685" s="124"/>
      <c r="V685" s="124"/>
      <c r="W685" s="124"/>
      <c r="X685" s="124"/>
      <c r="Y685" s="124"/>
      <c r="Z685" s="124"/>
      <c r="AA685" s="124"/>
      <c r="AB685" s="124"/>
      <c r="AC685" s="124"/>
      <c r="AD685" s="124"/>
      <c r="AE685" s="124"/>
      <c r="AF685" s="124"/>
      <c r="AG685" s="124"/>
      <c r="AH685" s="124"/>
      <c r="AI685" s="124"/>
      <c r="AJ685" s="124"/>
      <c r="AK685" s="124"/>
      <c r="AL685" s="124"/>
      <c r="AM685" s="124"/>
      <c r="AN685" s="124"/>
      <c r="AO685" s="124"/>
      <c r="AP685" s="124"/>
      <c r="AQ685" s="124"/>
      <c r="AR685" s="124"/>
      <c r="AS685" s="124"/>
      <c r="AT685" s="124"/>
      <c r="AU685" s="124"/>
      <c r="AV685" s="124"/>
      <c r="AW685" s="124"/>
      <c r="AX685" s="124"/>
      <c r="AY685" s="124"/>
      <c r="AZ685" s="124"/>
      <c r="BA685" s="124"/>
      <c r="BB685" s="124"/>
      <c r="BC685" s="124"/>
      <c r="BD685" s="124"/>
      <c r="BE685" s="124"/>
      <c r="BF685" s="124"/>
      <c r="BG685" s="124"/>
      <c r="BH685" s="124"/>
      <c r="BI685" s="124"/>
      <c r="BJ685" s="124"/>
      <c r="BK685" s="124"/>
      <c r="BL685" s="124"/>
      <c r="BM685" s="124"/>
      <c r="BN685" s="124"/>
      <c r="BO685" s="124"/>
      <c r="BP685" s="124"/>
    </row>
    <row r="686" spans="1:68" ht="15.75" hidden="1" thickBot="1" x14ac:dyDescent="0.3">
      <c r="A686" s="104">
        <v>1</v>
      </c>
      <c r="B686" s="109" t="s">
        <v>278</v>
      </c>
      <c r="C686" s="489" t="s">
        <v>363</v>
      </c>
      <c r="D686" s="655" t="s">
        <v>220</v>
      </c>
      <c r="E686" s="645"/>
      <c r="F686" s="645"/>
      <c r="G686" s="645"/>
      <c r="H686" s="656"/>
      <c r="I686" s="656"/>
      <c r="J686" s="124"/>
      <c r="K686" s="124"/>
      <c r="L686" s="124"/>
      <c r="M686" s="124"/>
      <c r="N686" s="124"/>
      <c r="O686" s="124"/>
      <c r="P686" s="124"/>
      <c r="Q686" s="124"/>
      <c r="R686" s="124"/>
      <c r="S686" s="124"/>
      <c r="T686" s="124"/>
      <c r="U686" s="124"/>
      <c r="V686" s="124"/>
      <c r="W686" s="124"/>
      <c r="X686" s="124"/>
      <c r="Y686" s="124"/>
      <c r="Z686" s="124"/>
      <c r="AA686" s="124"/>
      <c r="AB686" s="124"/>
      <c r="AC686" s="124"/>
      <c r="AD686" s="124"/>
      <c r="AE686" s="124"/>
      <c r="AF686" s="124"/>
      <c r="AG686" s="124"/>
      <c r="AH686" s="124"/>
      <c r="AI686" s="124"/>
      <c r="AJ686" s="124"/>
      <c r="AK686" s="124"/>
      <c r="AL686" s="124"/>
      <c r="AM686" s="124"/>
      <c r="AN686" s="124"/>
      <c r="AO686" s="124"/>
      <c r="AP686" s="124"/>
      <c r="AQ686" s="124"/>
      <c r="AR686" s="124"/>
      <c r="AS686" s="124"/>
      <c r="AT686" s="124"/>
      <c r="AU686" s="124"/>
      <c r="AV686" s="124"/>
      <c r="AW686" s="124"/>
      <c r="AX686" s="124"/>
      <c r="AY686" s="124"/>
      <c r="AZ686" s="124"/>
      <c r="BA686" s="124"/>
      <c r="BB686" s="124"/>
      <c r="BC686" s="124"/>
      <c r="BD686" s="124"/>
      <c r="BE686" s="124"/>
      <c r="BF686" s="124"/>
      <c r="BG686" s="124"/>
      <c r="BH686" s="124"/>
      <c r="BI686" s="124"/>
      <c r="BJ686" s="124"/>
      <c r="BK686" s="124"/>
      <c r="BL686" s="124"/>
      <c r="BM686" s="124"/>
      <c r="BN686" s="124"/>
      <c r="BO686" s="124"/>
      <c r="BP686" s="124"/>
    </row>
    <row r="687" spans="1:68" hidden="1" x14ac:dyDescent="0.25">
      <c r="C687" s="489" t="s">
        <v>363</v>
      </c>
      <c r="D687" s="657"/>
      <c r="E687" s="610"/>
      <c r="F687" s="610"/>
      <c r="G687" s="610"/>
      <c r="H687" s="654"/>
      <c r="I687" s="654"/>
      <c r="J687" s="124"/>
      <c r="K687" s="124"/>
      <c r="L687" s="124"/>
      <c r="M687" s="124"/>
      <c r="N687" s="124"/>
      <c r="O687" s="124"/>
      <c r="P687" s="124"/>
      <c r="Q687" s="124"/>
      <c r="R687" s="124"/>
      <c r="S687" s="124"/>
      <c r="T687" s="124"/>
      <c r="U687" s="124"/>
      <c r="V687" s="124"/>
      <c r="W687" s="124"/>
      <c r="X687" s="124"/>
      <c r="Y687" s="124"/>
      <c r="Z687" s="124"/>
      <c r="AA687" s="124"/>
      <c r="AB687" s="124"/>
      <c r="AC687" s="124"/>
      <c r="AD687" s="124"/>
      <c r="AE687" s="124"/>
      <c r="AF687" s="124"/>
      <c r="AG687" s="124"/>
      <c r="AH687" s="124"/>
      <c r="AI687" s="124"/>
      <c r="AJ687" s="124"/>
      <c r="AK687" s="124"/>
      <c r="AL687" s="124"/>
      <c r="AM687" s="124"/>
      <c r="AN687" s="124"/>
      <c r="AO687" s="124"/>
      <c r="AP687" s="124"/>
      <c r="AQ687" s="124"/>
      <c r="AR687" s="124"/>
      <c r="AS687" s="124"/>
      <c r="AT687" s="124"/>
      <c r="AU687" s="124"/>
      <c r="AV687" s="124"/>
      <c r="AW687" s="124"/>
      <c r="AX687" s="124"/>
      <c r="AY687" s="124"/>
      <c r="AZ687" s="124"/>
      <c r="BA687" s="124"/>
      <c r="BB687" s="124"/>
      <c r="BC687" s="124"/>
      <c r="BD687" s="124"/>
      <c r="BE687" s="124"/>
      <c r="BF687" s="124"/>
      <c r="BG687" s="124"/>
      <c r="BH687" s="124"/>
      <c r="BI687" s="124"/>
      <c r="BJ687" s="124"/>
      <c r="BK687" s="124"/>
      <c r="BL687" s="124"/>
      <c r="BM687" s="124"/>
      <c r="BN687" s="124"/>
      <c r="BO687" s="124"/>
      <c r="BP687" s="124"/>
    </row>
    <row r="688" spans="1:68" ht="47.25" hidden="1" x14ac:dyDescent="0.25">
      <c r="A688" s="104">
        <v>1</v>
      </c>
      <c r="B688" s="104" t="s">
        <v>279</v>
      </c>
      <c r="C688" s="489" t="s">
        <v>363</v>
      </c>
      <c r="D688" s="678" t="s">
        <v>429</v>
      </c>
      <c r="E688" s="190"/>
      <c r="F688" s="2"/>
      <c r="G688" s="2"/>
      <c r="H688" s="2"/>
      <c r="I688" s="2"/>
      <c r="J688" s="124"/>
      <c r="K688" s="124"/>
      <c r="L688" s="124"/>
      <c r="M688" s="124"/>
      <c r="N688" s="124"/>
      <c r="O688" s="124"/>
      <c r="P688" s="124"/>
      <c r="Q688" s="124"/>
      <c r="R688" s="124"/>
      <c r="S688" s="124"/>
      <c r="T688" s="124"/>
      <c r="U688" s="124"/>
      <c r="V688" s="124"/>
      <c r="W688" s="124"/>
      <c r="X688" s="124"/>
      <c r="Y688" s="124"/>
      <c r="Z688" s="124"/>
      <c r="AA688" s="124"/>
      <c r="AB688" s="124"/>
      <c r="AC688" s="124"/>
      <c r="AD688" s="124"/>
      <c r="AE688" s="124"/>
      <c r="AF688" s="124"/>
      <c r="AG688" s="124"/>
      <c r="AH688" s="124"/>
      <c r="AI688" s="124"/>
      <c r="AJ688" s="124"/>
      <c r="AK688" s="124"/>
      <c r="AL688" s="124"/>
      <c r="AM688" s="124"/>
      <c r="AN688" s="124"/>
      <c r="AO688" s="124"/>
      <c r="AP688" s="124"/>
      <c r="AQ688" s="124"/>
      <c r="AR688" s="124"/>
      <c r="AS688" s="124"/>
      <c r="AT688" s="124"/>
      <c r="AU688" s="124"/>
      <c r="AV688" s="124"/>
      <c r="AW688" s="124"/>
      <c r="AX688" s="124"/>
      <c r="AY688" s="124"/>
      <c r="AZ688" s="124"/>
      <c r="BA688" s="124"/>
      <c r="BB688" s="124"/>
      <c r="BC688" s="124"/>
      <c r="BD688" s="124"/>
      <c r="BE688" s="124"/>
      <c r="BF688" s="124"/>
      <c r="BG688" s="124"/>
      <c r="BH688" s="124"/>
      <c r="BI688" s="124"/>
      <c r="BJ688" s="124"/>
      <c r="BK688" s="124"/>
      <c r="BL688" s="124"/>
      <c r="BM688" s="124"/>
      <c r="BN688" s="124"/>
      <c r="BO688" s="124"/>
      <c r="BP688" s="124"/>
    </row>
    <row r="689" spans="1:68" hidden="1" x14ac:dyDescent="0.25">
      <c r="A689" s="104">
        <v>1</v>
      </c>
      <c r="B689" s="104" t="s">
        <v>279</v>
      </c>
      <c r="C689" s="489" t="s">
        <v>363</v>
      </c>
      <c r="D689" s="112" t="s">
        <v>4</v>
      </c>
      <c r="E689" s="190"/>
      <c r="F689" s="2"/>
      <c r="G689" s="2"/>
      <c r="H689" s="2"/>
      <c r="I689" s="2"/>
      <c r="J689" s="124"/>
      <c r="K689" s="124"/>
      <c r="L689" s="124"/>
      <c r="M689" s="124"/>
      <c r="N689" s="124"/>
      <c r="O689" s="124"/>
      <c r="P689" s="124"/>
      <c r="Q689" s="124"/>
      <c r="R689" s="124"/>
      <c r="S689" s="124"/>
      <c r="T689" s="124"/>
      <c r="U689" s="124"/>
      <c r="V689" s="124"/>
      <c r="W689" s="124"/>
      <c r="X689" s="124"/>
      <c r="Y689" s="124"/>
      <c r="Z689" s="124"/>
      <c r="AA689" s="124"/>
      <c r="AB689" s="124"/>
      <c r="AC689" s="124"/>
      <c r="AD689" s="124"/>
      <c r="AE689" s="124"/>
      <c r="AF689" s="124"/>
      <c r="AG689" s="124"/>
      <c r="AH689" s="124"/>
      <c r="AI689" s="124"/>
      <c r="AJ689" s="124"/>
      <c r="AK689" s="124"/>
      <c r="AL689" s="124"/>
      <c r="AM689" s="124"/>
      <c r="AN689" s="124"/>
      <c r="AO689" s="124"/>
      <c r="AP689" s="124"/>
      <c r="AQ689" s="124"/>
      <c r="AR689" s="124"/>
      <c r="AS689" s="124"/>
      <c r="AT689" s="124"/>
      <c r="AU689" s="124"/>
      <c r="AV689" s="124"/>
      <c r="AW689" s="124"/>
      <c r="AX689" s="124"/>
      <c r="AY689" s="124"/>
      <c r="AZ689" s="124"/>
      <c r="BA689" s="124"/>
      <c r="BB689" s="124"/>
      <c r="BC689" s="124"/>
      <c r="BD689" s="124"/>
      <c r="BE689" s="124"/>
      <c r="BF689" s="124"/>
      <c r="BG689" s="124"/>
      <c r="BH689" s="124"/>
      <c r="BI689" s="124"/>
      <c r="BJ689" s="124"/>
      <c r="BK689" s="124"/>
      <c r="BL689" s="124"/>
      <c r="BM689" s="124"/>
      <c r="BN689" s="124"/>
      <c r="BO689" s="124"/>
      <c r="BP689" s="124"/>
    </row>
    <row r="690" spans="1:68" hidden="1" x14ac:dyDescent="0.25">
      <c r="A690" s="104">
        <v>1</v>
      </c>
      <c r="B690" s="104" t="s">
        <v>279</v>
      </c>
      <c r="C690" s="489" t="s">
        <v>363</v>
      </c>
      <c r="D690" s="46" t="s">
        <v>186</v>
      </c>
      <c r="E690" s="354">
        <v>340</v>
      </c>
      <c r="F690" s="2">
        <v>151</v>
      </c>
      <c r="G690" s="355">
        <v>14</v>
      </c>
      <c r="H690" s="2">
        <f>ROUND(I690/E690,0)</f>
        <v>6</v>
      </c>
      <c r="I690" s="2">
        <f>ROUND(F690*G690,0)</f>
        <v>2114</v>
      </c>
      <c r="J690" s="124"/>
      <c r="K690" s="124"/>
      <c r="L690" s="124"/>
      <c r="M690" s="124"/>
      <c r="N690" s="124"/>
      <c r="O690" s="124"/>
      <c r="P690" s="124"/>
      <c r="Q690" s="124"/>
      <c r="R690" s="124"/>
      <c r="S690" s="124"/>
      <c r="T690" s="124"/>
      <c r="U690" s="124"/>
      <c r="V690" s="124"/>
      <c r="W690" s="124"/>
      <c r="X690" s="124"/>
      <c r="Y690" s="124"/>
      <c r="Z690" s="124"/>
      <c r="AA690" s="124"/>
      <c r="AB690" s="124"/>
      <c r="AC690" s="124"/>
      <c r="AD690" s="124"/>
      <c r="AE690" s="124"/>
      <c r="AF690" s="124"/>
      <c r="AG690" s="124"/>
      <c r="AH690" s="124"/>
      <c r="AI690" s="124"/>
      <c r="AJ690" s="124"/>
      <c r="AK690" s="124"/>
      <c r="AL690" s="124"/>
      <c r="AM690" s="124"/>
      <c r="AN690" s="124"/>
      <c r="AO690" s="124"/>
      <c r="AP690" s="124"/>
      <c r="AQ690" s="124"/>
      <c r="AR690" s="124"/>
      <c r="AS690" s="124"/>
      <c r="AT690" s="124"/>
      <c r="AU690" s="124"/>
      <c r="AV690" s="124"/>
      <c r="AW690" s="124"/>
      <c r="AX690" s="124"/>
      <c r="AY690" s="124"/>
      <c r="AZ690" s="124"/>
      <c r="BA690" s="124"/>
      <c r="BB690" s="124"/>
      <c r="BC690" s="124"/>
      <c r="BD690" s="124"/>
      <c r="BE690" s="124"/>
      <c r="BF690" s="124"/>
      <c r="BG690" s="124"/>
      <c r="BH690" s="124"/>
      <c r="BI690" s="124"/>
      <c r="BJ690" s="124"/>
      <c r="BK690" s="124"/>
      <c r="BL690" s="124"/>
      <c r="BM690" s="124"/>
      <c r="BN690" s="124"/>
      <c r="BO690" s="124"/>
      <c r="BP690" s="124"/>
    </row>
    <row r="691" spans="1:68" hidden="1" x14ac:dyDescent="0.25">
      <c r="A691" s="104">
        <v>1</v>
      </c>
      <c r="B691" s="104" t="s">
        <v>279</v>
      </c>
      <c r="C691" s="489" t="s">
        <v>363</v>
      </c>
      <c r="D691" s="117" t="s">
        <v>49</v>
      </c>
      <c r="E691" s="354">
        <v>340</v>
      </c>
      <c r="F691" s="2">
        <v>96</v>
      </c>
      <c r="G691" s="355">
        <v>6</v>
      </c>
      <c r="H691" s="2">
        <f>ROUND(I691/E691,0)</f>
        <v>2</v>
      </c>
      <c r="I691" s="2">
        <f>ROUND(F691*G691,0)</f>
        <v>576</v>
      </c>
      <c r="J691" s="124"/>
      <c r="K691" s="124"/>
      <c r="L691" s="124"/>
      <c r="M691" s="124"/>
      <c r="N691" s="124"/>
      <c r="O691" s="124"/>
      <c r="P691" s="124"/>
      <c r="Q691" s="124"/>
      <c r="R691" s="124"/>
      <c r="S691" s="124"/>
      <c r="T691" s="124"/>
      <c r="U691" s="124"/>
      <c r="V691" s="124"/>
      <c r="W691" s="124"/>
      <c r="X691" s="124"/>
      <c r="Y691" s="124"/>
      <c r="Z691" s="124"/>
      <c r="AA691" s="124"/>
      <c r="AB691" s="124"/>
      <c r="AC691" s="124"/>
      <c r="AD691" s="124"/>
      <c r="AE691" s="124"/>
      <c r="AF691" s="124"/>
      <c r="AG691" s="124"/>
      <c r="AH691" s="124"/>
      <c r="AI691" s="124"/>
      <c r="AJ691" s="124"/>
      <c r="AK691" s="124"/>
      <c r="AL691" s="124"/>
      <c r="AM691" s="124"/>
      <c r="AN691" s="124"/>
      <c r="AO691" s="124"/>
      <c r="AP691" s="124"/>
      <c r="AQ691" s="124"/>
      <c r="AR691" s="124"/>
      <c r="AS691" s="124"/>
      <c r="AT691" s="124"/>
      <c r="AU691" s="124"/>
      <c r="AV691" s="124"/>
      <c r="AW691" s="124"/>
      <c r="AX691" s="124"/>
      <c r="AY691" s="124"/>
      <c r="AZ691" s="124"/>
      <c r="BA691" s="124"/>
      <c r="BB691" s="124"/>
      <c r="BC691" s="124"/>
      <c r="BD691" s="124"/>
      <c r="BE691" s="124"/>
      <c r="BF691" s="124"/>
      <c r="BG691" s="124"/>
      <c r="BH691" s="124"/>
      <c r="BI691" s="124"/>
      <c r="BJ691" s="124"/>
      <c r="BK691" s="124"/>
      <c r="BL691" s="124"/>
      <c r="BM691" s="124"/>
      <c r="BN691" s="124"/>
      <c r="BO691" s="124"/>
      <c r="BP691" s="124"/>
    </row>
    <row r="692" spans="1:68" hidden="1" x14ac:dyDescent="0.25">
      <c r="A692" s="104">
        <v>1</v>
      </c>
      <c r="B692" s="104" t="s">
        <v>279</v>
      </c>
      <c r="C692" s="489" t="s">
        <v>363</v>
      </c>
      <c r="D692" s="117" t="s">
        <v>24</v>
      </c>
      <c r="E692" s="354">
        <v>320</v>
      </c>
      <c r="F692" s="2">
        <v>155</v>
      </c>
      <c r="G692" s="355">
        <v>9</v>
      </c>
      <c r="H692" s="2">
        <f>ROUND(I692/E692,0)</f>
        <v>4</v>
      </c>
      <c r="I692" s="2">
        <f>ROUND(F692*G692,0)</f>
        <v>1395</v>
      </c>
      <c r="J692" s="124"/>
      <c r="K692" s="124"/>
      <c r="L692" s="124"/>
      <c r="M692" s="124"/>
      <c r="N692" s="124"/>
      <c r="O692" s="124"/>
      <c r="P692" s="124"/>
      <c r="Q692" s="124"/>
      <c r="R692" s="124"/>
      <c r="S692" s="124"/>
      <c r="T692" s="124"/>
      <c r="U692" s="124"/>
      <c r="V692" s="124"/>
      <c r="W692" s="124"/>
      <c r="X692" s="124"/>
      <c r="Y692" s="124"/>
      <c r="Z692" s="124"/>
      <c r="AA692" s="124"/>
      <c r="AB692" s="124"/>
      <c r="AC692" s="124"/>
      <c r="AD692" s="124"/>
      <c r="AE692" s="124"/>
      <c r="AF692" s="124"/>
      <c r="AG692" s="124"/>
      <c r="AH692" s="124"/>
      <c r="AI692" s="124"/>
      <c r="AJ692" s="124"/>
      <c r="AK692" s="124"/>
      <c r="AL692" s="124"/>
      <c r="AM692" s="124"/>
      <c r="AN692" s="124"/>
      <c r="AO692" s="124"/>
      <c r="AP692" s="124"/>
      <c r="AQ692" s="124"/>
      <c r="AR692" s="124"/>
      <c r="AS692" s="124"/>
      <c r="AT692" s="124"/>
      <c r="AU692" s="124"/>
      <c r="AV692" s="124"/>
      <c r="AW692" s="124"/>
      <c r="AX692" s="124"/>
      <c r="AY692" s="124"/>
      <c r="AZ692" s="124"/>
      <c r="BA692" s="124"/>
      <c r="BB692" s="124"/>
      <c r="BC692" s="124"/>
      <c r="BD692" s="124"/>
      <c r="BE692" s="124"/>
      <c r="BF692" s="124"/>
      <c r="BG692" s="124"/>
      <c r="BH692" s="124"/>
      <c r="BI692" s="124"/>
      <c r="BJ692" s="124"/>
      <c r="BK692" s="124"/>
      <c r="BL692" s="124"/>
      <c r="BM692" s="124"/>
      <c r="BN692" s="124"/>
      <c r="BO692" s="124"/>
      <c r="BP692" s="124"/>
    </row>
    <row r="693" spans="1:68" hidden="1" x14ac:dyDescent="0.25">
      <c r="A693" s="104">
        <v>1</v>
      </c>
      <c r="B693" s="104" t="s">
        <v>279</v>
      </c>
      <c r="C693" s="489" t="s">
        <v>363</v>
      </c>
      <c r="D693" s="117" t="s">
        <v>35</v>
      </c>
      <c r="E693" s="354">
        <v>340</v>
      </c>
      <c r="F693" s="2">
        <v>480</v>
      </c>
      <c r="G693" s="355">
        <v>10.5</v>
      </c>
      <c r="H693" s="2">
        <f>ROUND(I693/E693,0)</f>
        <v>15</v>
      </c>
      <c r="I693" s="2">
        <f>ROUND(F693*G693,0)</f>
        <v>5040</v>
      </c>
      <c r="J693" s="124"/>
      <c r="K693" s="124"/>
      <c r="L693" s="124"/>
      <c r="M693" s="124"/>
      <c r="N693" s="124"/>
      <c r="O693" s="124"/>
      <c r="P693" s="124"/>
      <c r="Q693" s="124"/>
      <c r="R693" s="124"/>
      <c r="S693" s="124"/>
      <c r="T693" s="124"/>
      <c r="U693" s="124"/>
      <c r="V693" s="124"/>
      <c r="W693" s="124"/>
      <c r="X693" s="124"/>
      <c r="Y693" s="124"/>
      <c r="Z693" s="124"/>
      <c r="AA693" s="124"/>
      <c r="AB693" s="124"/>
      <c r="AC693" s="124"/>
      <c r="AD693" s="124"/>
      <c r="AE693" s="124"/>
      <c r="AF693" s="124"/>
      <c r="AG693" s="124"/>
      <c r="AH693" s="124"/>
      <c r="AI693" s="124"/>
      <c r="AJ693" s="124"/>
      <c r="AK693" s="124"/>
      <c r="AL693" s="124"/>
      <c r="AM693" s="124"/>
      <c r="AN693" s="124"/>
      <c r="AO693" s="124"/>
      <c r="AP693" s="124"/>
      <c r="AQ693" s="124"/>
      <c r="AR693" s="124"/>
      <c r="AS693" s="124"/>
      <c r="AT693" s="124"/>
      <c r="AU693" s="124"/>
      <c r="AV693" s="124"/>
      <c r="AW693" s="124"/>
      <c r="AX693" s="124"/>
      <c r="AY693" s="124"/>
      <c r="AZ693" s="124"/>
      <c r="BA693" s="124"/>
      <c r="BB693" s="124"/>
      <c r="BC693" s="124"/>
      <c r="BD693" s="124"/>
      <c r="BE693" s="124"/>
      <c r="BF693" s="124"/>
      <c r="BG693" s="124"/>
      <c r="BH693" s="124"/>
      <c r="BI693" s="124"/>
      <c r="BJ693" s="124"/>
      <c r="BK693" s="124"/>
      <c r="BL693" s="124"/>
      <c r="BM693" s="124"/>
      <c r="BN693" s="124"/>
      <c r="BO693" s="124"/>
      <c r="BP693" s="124"/>
    </row>
    <row r="694" spans="1:68" hidden="1" x14ac:dyDescent="0.25">
      <c r="C694" s="489" t="s">
        <v>363</v>
      </c>
      <c r="D694" s="117" t="s">
        <v>69</v>
      </c>
      <c r="E694" s="354">
        <v>340</v>
      </c>
      <c r="F694" s="2">
        <v>300</v>
      </c>
      <c r="G694" s="588">
        <v>8.9</v>
      </c>
      <c r="H694" s="2">
        <f>ROUND(I694/E694,0)</f>
        <v>8</v>
      </c>
      <c r="I694" s="2">
        <f>ROUND(F694*G694,0)</f>
        <v>2670</v>
      </c>
      <c r="J694" s="124"/>
      <c r="K694" s="124"/>
      <c r="L694" s="124"/>
      <c r="M694" s="124"/>
      <c r="N694" s="124"/>
      <c r="O694" s="124"/>
      <c r="P694" s="124"/>
      <c r="Q694" s="124"/>
      <c r="R694" s="124"/>
      <c r="S694" s="124"/>
      <c r="T694" s="124"/>
      <c r="U694" s="124"/>
      <c r="V694" s="124"/>
      <c r="W694" s="124"/>
      <c r="X694" s="124"/>
      <c r="Y694" s="124"/>
      <c r="Z694" s="124"/>
      <c r="AA694" s="124"/>
      <c r="AB694" s="124"/>
      <c r="AC694" s="124"/>
      <c r="AD694" s="124"/>
      <c r="AE694" s="124"/>
      <c r="AF694" s="124"/>
      <c r="AG694" s="124"/>
      <c r="AH694" s="124"/>
      <c r="AI694" s="124"/>
      <c r="AJ694" s="124"/>
      <c r="AK694" s="124"/>
      <c r="AL694" s="124"/>
      <c r="AM694" s="124"/>
      <c r="AN694" s="124"/>
      <c r="AO694" s="124"/>
      <c r="AP694" s="124"/>
      <c r="AQ694" s="124"/>
      <c r="AR694" s="124"/>
      <c r="AS694" s="124"/>
      <c r="AT694" s="124"/>
      <c r="AU694" s="124"/>
      <c r="AV694" s="124"/>
      <c r="AW694" s="124"/>
      <c r="AX694" s="124"/>
      <c r="AY694" s="124"/>
      <c r="AZ694" s="124"/>
      <c r="BA694" s="124"/>
      <c r="BB694" s="124"/>
      <c r="BC694" s="124"/>
      <c r="BD694" s="124"/>
      <c r="BE694" s="124"/>
      <c r="BF694" s="124"/>
      <c r="BG694" s="124"/>
      <c r="BH694" s="124"/>
      <c r="BI694" s="124"/>
      <c r="BJ694" s="124"/>
      <c r="BK694" s="124"/>
      <c r="BL694" s="124"/>
      <c r="BM694" s="124"/>
      <c r="BN694" s="124"/>
      <c r="BO694" s="124"/>
      <c r="BP694" s="124"/>
    </row>
    <row r="695" spans="1:68" hidden="1" x14ac:dyDescent="0.25">
      <c r="A695" s="104">
        <v>1</v>
      </c>
      <c r="B695" s="104" t="s">
        <v>279</v>
      </c>
      <c r="C695" s="489" t="s">
        <v>363</v>
      </c>
      <c r="D695" s="589" t="s">
        <v>5</v>
      </c>
      <c r="E695" s="190"/>
      <c r="F695" s="29">
        <f>SUM(F690:F694)</f>
        <v>1182</v>
      </c>
      <c r="G695" s="143">
        <f>I695/F695</f>
        <v>9.978849407783418</v>
      </c>
      <c r="H695" s="29">
        <f>SUM(H690:H694)</f>
        <v>35</v>
      </c>
      <c r="I695" s="29">
        <f>SUM(I690:I694)</f>
        <v>11795</v>
      </c>
      <c r="J695" s="191"/>
      <c r="K695" s="124"/>
      <c r="L695" s="124"/>
      <c r="M695" s="124"/>
      <c r="N695" s="124"/>
      <c r="O695" s="124"/>
      <c r="P695" s="124"/>
      <c r="Q695" s="124"/>
      <c r="R695" s="124"/>
      <c r="S695" s="124"/>
      <c r="T695" s="124"/>
      <c r="U695" s="124"/>
      <c r="V695" s="124"/>
      <c r="W695" s="124"/>
      <c r="X695" s="124"/>
      <c r="Y695" s="124"/>
      <c r="Z695" s="124"/>
      <c r="AA695" s="124"/>
      <c r="AB695" s="124"/>
      <c r="AC695" s="124"/>
      <c r="AD695" s="124"/>
      <c r="AE695" s="124"/>
      <c r="AF695" s="124"/>
      <c r="AG695" s="124"/>
      <c r="AH695" s="124"/>
      <c r="AI695" s="124"/>
      <c r="AJ695" s="124"/>
      <c r="AK695" s="124"/>
      <c r="AL695" s="124"/>
      <c r="AM695" s="124"/>
      <c r="AN695" s="124"/>
      <c r="AO695" s="124"/>
      <c r="AP695" s="124"/>
      <c r="AQ695" s="124"/>
      <c r="AR695" s="124"/>
      <c r="AS695" s="124"/>
      <c r="AT695" s="124"/>
      <c r="AU695" s="124"/>
      <c r="AV695" s="124"/>
      <c r="AW695" s="124"/>
      <c r="AX695" s="124"/>
      <c r="AY695" s="124"/>
      <c r="AZ695" s="124"/>
      <c r="BA695" s="124"/>
      <c r="BB695" s="124"/>
      <c r="BC695" s="124"/>
      <c r="BD695" s="124"/>
      <c r="BE695" s="124"/>
      <c r="BF695" s="124"/>
      <c r="BG695" s="124"/>
      <c r="BH695" s="124"/>
      <c r="BI695" s="124"/>
      <c r="BJ695" s="124"/>
      <c r="BK695" s="124"/>
      <c r="BL695" s="124"/>
      <c r="BM695" s="124"/>
      <c r="BN695" s="124"/>
      <c r="BO695" s="124"/>
      <c r="BP695" s="124"/>
    </row>
    <row r="696" spans="1:68" hidden="1" x14ac:dyDescent="0.25">
      <c r="B696" s="104" t="s">
        <v>279</v>
      </c>
      <c r="C696" s="489" t="s">
        <v>363</v>
      </c>
      <c r="D696" s="120" t="s">
        <v>213</v>
      </c>
      <c r="E696" s="190"/>
      <c r="F696" s="29">
        <v>12</v>
      </c>
      <c r="G696" s="143"/>
      <c r="H696" s="29"/>
      <c r="I696" s="29"/>
      <c r="J696" s="124"/>
      <c r="K696" s="124"/>
      <c r="L696" s="124"/>
      <c r="M696" s="124"/>
      <c r="N696" s="124"/>
      <c r="O696" s="124"/>
      <c r="P696" s="124"/>
      <c r="Q696" s="124"/>
      <c r="R696" s="124"/>
      <c r="S696" s="124"/>
      <c r="T696" s="124"/>
      <c r="U696" s="124"/>
      <c r="V696" s="124"/>
      <c r="W696" s="124"/>
      <c r="X696" s="124"/>
      <c r="Y696" s="124"/>
      <c r="Z696" s="124"/>
      <c r="AA696" s="124"/>
      <c r="AB696" s="124"/>
      <c r="AC696" s="124"/>
      <c r="AD696" s="124"/>
      <c r="AE696" s="124"/>
      <c r="AF696" s="124"/>
      <c r="AG696" s="124"/>
      <c r="AH696" s="124"/>
      <c r="AI696" s="124"/>
      <c r="AJ696" s="124"/>
      <c r="AK696" s="124"/>
      <c r="AL696" s="124"/>
      <c r="AM696" s="124"/>
      <c r="AN696" s="124"/>
      <c r="AO696" s="124"/>
      <c r="AP696" s="124"/>
      <c r="AQ696" s="124"/>
      <c r="AR696" s="124"/>
      <c r="AS696" s="124"/>
      <c r="AT696" s="124"/>
      <c r="AU696" s="124"/>
      <c r="AV696" s="124"/>
      <c r="AW696" s="124"/>
      <c r="AX696" s="124"/>
      <c r="AY696" s="124"/>
      <c r="AZ696" s="124"/>
      <c r="BA696" s="124"/>
      <c r="BB696" s="124"/>
      <c r="BC696" s="124"/>
      <c r="BD696" s="124"/>
      <c r="BE696" s="124"/>
      <c r="BF696" s="124"/>
      <c r="BG696" s="124"/>
      <c r="BH696" s="124"/>
      <c r="BI696" s="124"/>
      <c r="BJ696" s="124"/>
      <c r="BK696" s="124"/>
      <c r="BL696" s="124"/>
      <c r="BM696" s="124"/>
      <c r="BN696" s="124"/>
      <c r="BO696" s="124"/>
      <c r="BP696" s="124"/>
    </row>
    <row r="697" spans="1:68" s="58" customFormat="1" hidden="1" x14ac:dyDescent="0.25">
      <c r="A697" s="104">
        <v>1</v>
      </c>
      <c r="B697" s="104" t="s">
        <v>279</v>
      </c>
      <c r="C697" s="489" t="s">
        <v>363</v>
      </c>
      <c r="D697" s="12" t="s">
        <v>294</v>
      </c>
      <c r="E697" s="12"/>
      <c r="F697" s="84"/>
      <c r="G697" s="57"/>
      <c r="H697" s="57"/>
      <c r="I697" s="57"/>
    </row>
    <row r="698" spans="1:68" s="58" customFormat="1" hidden="1" x14ac:dyDescent="0.25">
      <c r="A698" s="104"/>
      <c r="B698" s="104" t="s">
        <v>279</v>
      </c>
      <c r="C698" s="489" t="s">
        <v>363</v>
      </c>
      <c r="D698" s="14" t="s">
        <v>187</v>
      </c>
      <c r="E698" s="12"/>
      <c r="F698" s="84">
        <f>F700+F701+F703+F705</f>
        <v>33618</v>
      </c>
      <c r="G698" s="57"/>
      <c r="H698" s="57"/>
      <c r="I698" s="57"/>
    </row>
    <row r="699" spans="1:68" s="58" customFormat="1" hidden="1" x14ac:dyDescent="0.25">
      <c r="A699" s="104"/>
      <c r="B699" s="104" t="s">
        <v>279</v>
      </c>
      <c r="C699" s="489" t="s">
        <v>363</v>
      </c>
      <c r="D699" s="18" t="s">
        <v>113</v>
      </c>
      <c r="E699" s="12"/>
      <c r="F699" s="84"/>
      <c r="G699" s="57"/>
      <c r="H699" s="57"/>
      <c r="I699" s="57"/>
    </row>
    <row r="700" spans="1:68" s="58" customFormat="1" ht="30" hidden="1" x14ac:dyDescent="0.25">
      <c r="A700" s="104"/>
      <c r="B700" s="104" t="s">
        <v>279</v>
      </c>
      <c r="C700" s="489" t="s">
        <v>363</v>
      </c>
      <c r="D700" s="18" t="s">
        <v>114</v>
      </c>
      <c r="E700" s="12"/>
      <c r="F700" s="65">
        <v>700</v>
      </c>
      <c r="G700" s="57"/>
      <c r="H700" s="57"/>
      <c r="I700" s="57"/>
    </row>
    <row r="701" spans="1:68" s="58" customFormat="1" ht="30" hidden="1" x14ac:dyDescent="0.25">
      <c r="A701" s="104"/>
      <c r="B701" s="104" t="s">
        <v>279</v>
      </c>
      <c r="C701" s="489" t="s">
        <v>363</v>
      </c>
      <c r="D701" s="16" t="s">
        <v>361</v>
      </c>
      <c r="E701" s="12"/>
      <c r="F701" s="65">
        <v>7914</v>
      </c>
      <c r="G701" s="57"/>
      <c r="H701" s="57"/>
      <c r="I701" s="57"/>
    </row>
    <row r="702" spans="1:68" s="58" customFormat="1" ht="45" hidden="1" x14ac:dyDescent="0.25">
      <c r="A702" s="104"/>
      <c r="B702" s="104" t="s">
        <v>279</v>
      </c>
      <c r="C702" s="489" t="s">
        <v>363</v>
      </c>
      <c r="D702" s="15" t="s">
        <v>219</v>
      </c>
      <c r="E702" s="12"/>
      <c r="F702" s="65"/>
      <c r="G702" s="57"/>
      <c r="H702" s="57"/>
      <c r="I702" s="57"/>
    </row>
    <row r="703" spans="1:68" s="58" customFormat="1" ht="45" hidden="1" x14ac:dyDescent="0.25">
      <c r="A703" s="104"/>
      <c r="B703" s="104" t="s">
        <v>279</v>
      </c>
      <c r="C703" s="489" t="s">
        <v>363</v>
      </c>
      <c r="D703" s="15" t="s">
        <v>188</v>
      </c>
      <c r="E703" s="12"/>
      <c r="F703" s="65">
        <v>23260</v>
      </c>
      <c r="G703" s="57"/>
      <c r="H703" s="57"/>
      <c r="I703" s="57"/>
    </row>
    <row r="704" spans="1:68" s="58" customFormat="1" ht="75" hidden="1" x14ac:dyDescent="0.25">
      <c r="A704" s="104"/>
      <c r="B704" s="104"/>
      <c r="C704" s="489" t="s">
        <v>363</v>
      </c>
      <c r="D704" s="15" t="s">
        <v>353</v>
      </c>
      <c r="E704" s="12"/>
      <c r="F704" s="65">
        <v>15000</v>
      </c>
      <c r="G704" s="57"/>
      <c r="H704" s="57"/>
      <c r="I704" s="57"/>
    </row>
    <row r="705" spans="1:9" s="58" customFormat="1" ht="30" hidden="1" x14ac:dyDescent="0.25">
      <c r="A705" s="104"/>
      <c r="B705" s="104"/>
      <c r="C705" s="489" t="s">
        <v>363</v>
      </c>
      <c r="D705" s="15" t="s">
        <v>293</v>
      </c>
      <c r="E705" s="12"/>
      <c r="F705" s="65">
        <v>1744</v>
      </c>
      <c r="G705" s="57"/>
      <c r="H705" s="57"/>
      <c r="I705" s="57"/>
    </row>
    <row r="706" spans="1:9" s="58" customFormat="1" hidden="1" x14ac:dyDescent="0.25">
      <c r="A706" s="104"/>
      <c r="B706" s="104" t="s">
        <v>279</v>
      </c>
      <c r="C706" s="489" t="s">
        <v>363</v>
      </c>
      <c r="D706" s="60" t="s">
        <v>88</v>
      </c>
      <c r="E706" s="12"/>
      <c r="F706" s="84">
        <v>12830</v>
      </c>
      <c r="G706" s="57"/>
      <c r="H706" s="57"/>
      <c r="I706" s="57"/>
    </row>
    <row r="707" spans="1:9" s="58" customFormat="1" hidden="1" x14ac:dyDescent="0.25">
      <c r="A707" s="104"/>
      <c r="B707" s="104" t="s">
        <v>279</v>
      </c>
      <c r="C707" s="489" t="s">
        <v>363</v>
      </c>
      <c r="D707" s="19" t="s">
        <v>145</v>
      </c>
      <c r="E707" s="12"/>
      <c r="F707" s="65">
        <v>12830</v>
      </c>
      <c r="G707" s="57"/>
      <c r="H707" s="57"/>
      <c r="I707" s="57"/>
    </row>
    <row r="708" spans="1:9" s="58" customFormat="1" ht="47.25" hidden="1" x14ac:dyDescent="0.25">
      <c r="A708" s="104"/>
      <c r="B708" s="104" t="s">
        <v>279</v>
      </c>
      <c r="C708" s="489" t="s">
        <v>363</v>
      </c>
      <c r="D708" s="61" t="s">
        <v>292</v>
      </c>
      <c r="E708" s="12"/>
      <c r="F708" s="84">
        <f>F709+F714</f>
        <v>9117.5499999999993</v>
      </c>
      <c r="G708" s="57"/>
      <c r="H708" s="57"/>
      <c r="I708" s="57"/>
    </row>
    <row r="709" spans="1:9" s="58" customFormat="1" ht="30" hidden="1" x14ac:dyDescent="0.25">
      <c r="A709" s="104"/>
      <c r="B709" s="104" t="s">
        <v>279</v>
      </c>
      <c r="C709" s="489" t="s">
        <v>363</v>
      </c>
      <c r="D709" s="16" t="s">
        <v>189</v>
      </c>
      <c r="E709" s="12"/>
      <c r="F709" s="84">
        <f>SUM(F710:F713)</f>
        <v>5284</v>
      </c>
      <c r="G709" s="57"/>
      <c r="H709" s="57"/>
      <c r="I709" s="57"/>
    </row>
    <row r="710" spans="1:9" s="58" customFormat="1" ht="30" hidden="1" x14ac:dyDescent="0.25">
      <c r="A710" s="104"/>
      <c r="B710" s="104" t="s">
        <v>279</v>
      </c>
      <c r="C710" s="489" t="s">
        <v>363</v>
      </c>
      <c r="D710" s="15" t="s">
        <v>190</v>
      </c>
      <c r="E710" s="12"/>
      <c r="F710" s="65">
        <v>5284</v>
      </c>
      <c r="G710" s="57"/>
      <c r="H710" s="57"/>
      <c r="I710" s="57"/>
    </row>
    <row r="711" spans="1:9" s="58" customFormat="1" ht="45" hidden="1" x14ac:dyDescent="0.25">
      <c r="A711" s="104"/>
      <c r="B711" s="104" t="s">
        <v>279</v>
      </c>
      <c r="C711" s="489" t="s">
        <v>363</v>
      </c>
      <c r="D711" s="15" t="s">
        <v>191</v>
      </c>
      <c r="E711" s="12"/>
      <c r="F711" s="84"/>
      <c r="G711" s="57"/>
      <c r="H711" s="57"/>
      <c r="I711" s="57"/>
    </row>
    <row r="712" spans="1:9" s="58" customFormat="1" ht="30" hidden="1" x14ac:dyDescent="0.25">
      <c r="A712" s="104"/>
      <c r="B712" s="104" t="s">
        <v>279</v>
      </c>
      <c r="C712" s="489" t="s">
        <v>363</v>
      </c>
      <c r="D712" s="15" t="s">
        <v>192</v>
      </c>
      <c r="E712" s="12"/>
      <c r="F712" s="84"/>
      <c r="G712" s="57"/>
      <c r="H712" s="57"/>
      <c r="I712" s="57"/>
    </row>
    <row r="713" spans="1:9" s="58" customFormat="1" ht="30" hidden="1" x14ac:dyDescent="0.25">
      <c r="A713" s="104">
        <v>1</v>
      </c>
      <c r="B713" s="104" t="s">
        <v>279</v>
      </c>
      <c r="C713" s="489" t="s">
        <v>363</v>
      </c>
      <c r="D713" s="15" t="s">
        <v>193</v>
      </c>
      <c r="E713" s="62"/>
      <c r="F713" s="57"/>
      <c r="G713" s="57"/>
      <c r="H713" s="57"/>
      <c r="I713" s="57"/>
    </row>
    <row r="714" spans="1:9" s="58" customFormat="1" ht="30" hidden="1" x14ac:dyDescent="0.25">
      <c r="A714" s="104">
        <v>1</v>
      </c>
      <c r="B714" s="104" t="s">
        <v>279</v>
      </c>
      <c r="C714" s="489" t="s">
        <v>363</v>
      </c>
      <c r="D714" s="16" t="s">
        <v>194</v>
      </c>
      <c r="E714" s="24"/>
      <c r="F714" s="29">
        <f>SUM(F715:F717)</f>
        <v>3833.55</v>
      </c>
      <c r="G714" s="24"/>
      <c r="H714" s="24"/>
      <c r="I714" s="24"/>
    </row>
    <row r="715" spans="1:9" s="58" customFormat="1" ht="30" hidden="1" x14ac:dyDescent="0.25">
      <c r="A715" s="104">
        <v>1</v>
      </c>
      <c r="B715" s="104" t="s">
        <v>279</v>
      </c>
      <c r="C715" s="489" t="s">
        <v>363</v>
      </c>
      <c r="D715" s="15" t="s">
        <v>195</v>
      </c>
      <c r="E715" s="62"/>
      <c r="F715" s="57">
        <v>1850</v>
      </c>
      <c r="G715" s="57"/>
      <c r="H715" s="57"/>
      <c r="I715" s="57"/>
    </row>
    <row r="716" spans="1:9" s="58" customFormat="1" ht="45" hidden="1" x14ac:dyDescent="0.25">
      <c r="A716" s="104">
        <v>1</v>
      </c>
      <c r="B716" s="104" t="s">
        <v>279</v>
      </c>
      <c r="C716" s="489" t="s">
        <v>363</v>
      </c>
      <c r="D716" s="15" t="s">
        <v>196</v>
      </c>
      <c r="E716" s="62"/>
      <c r="F716" s="2">
        <v>1775.55</v>
      </c>
      <c r="G716" s="57"/>
      <c r="H716" s="57"/>
      <c r="I716" s="57"/>
    </row>
    <row r="717" spans="1:9" s="58" customFormat="1" ht="45" hidden="1" x14ac:dyDescent="0.25">
      <c r="A717" s="104">
        <v>1</v>
      </c>
      <c r="B717" s="104" t="s">
        <v>279</v>
      </c>
      <c r="C717" s="489" t="s">
        <v>363</v>
      </c>
      <c r="D717" s="15" t="s">
        <v>197</v>
      </c>
      <c r="E717" s="62"/>
      <c r="F717" s="2">
        <v>208</v>
      </c>
      <c r="G717" s="57"/>
      <c r="H717" s="57"/>
      <c r="I717" s="57"/>
    </row>
    <row r="718" spans="1:9" s="58" customFormat="1" ht="27.75" hidden="1" customHeight="1" x14ac:dyDescent="0.25">
      <c r="A718" s="104"/>
      <c r="B718" s="104"/>
      <c r="C718" s="489" t="s">
        <v>363</v>
      </c>
      <c r="D718" s="12" t="s">
        <v>96</v>
      </c>
      <c r="E718" s="62"/>
      <c r="F718" s="2">
        <f>F720+F721+F725+F724+F726+F719</f>
        <v>1246</v>
      </c>
      <c r="G718" s="57"/>
      <c r="H718" s="57"/>
      <c r="I718" s="57"/>
    </row>
    <row r="719" spans="1:9" s="58" customFormat="1" hidden="1" x14ac:dyDescent="0.25">
      <c r="A719" s="104">
        <v>1</v>
      </c>
      <c r="B719" s="104" t="s">
        <v>279</v>
      </c>
      <c r="C719" s="489" t="s">
        <v>363</v>
      </c>
      <c r="D719" s="14" t="s">
        <v>296</v>
      </c>
      <c r="E719" s="62"/>
      <c r="F719" s="29">
        <f>F720+F721+F727+F728</f>
        <v>1221</v>
      </c>
      <c r="G719" s="57"/>
      <c r="H719" s="57"/>
      <c r="I719" s="57"/>
    </row>
    <row r="720" spans="1:9" s="58" customFormat="1" hidden="1" x14ac:dyDescent="0.25">
      <c r="A720" s="104">
        <v>1</v>
      </c>
      <c r="B720" s="104" t="s">
        <v>279</v>
      </c>
      <c r="C720" s="489" t="s">
        <v>363</v>
      </c>
      <c r="D720" s="15" t="s">
        <v>297</v>
      </c>
      <c r="E720" s="62"/>
      <c r="F720" s="10"/>
      <c r="G720" s="57"/>
      <c r="H720" s="57"/>
      <c r="I720" s="57"/>
    </row>
    <row r="721" spans="1:68" ht="30" hidden="1" x14ac:dyDescent="0.25">
      <c r="A721" s="104">
        <v>1</v>
      </c>
      <c r="B721" s="104" t="s">
        <v>279</v>
      </c>
      <c r="C721" s="489" t="s">
        <v>363</v>
      </c>
      <c r="D721" s="16" t="s">
        <v>298</v>
      </c>
      <c r="E721" s="13"/>
      <c r="F721" s="2">
        <f>F722+F723/4+F724</f>
        <v>25</v>
      </c>
      <c r="G721" s="2"/>
      <c r="H721" s="2"/>
      <c r="I721" s="2"/>
      <c r="J721" s="58"/>
      <c r="K721" s="124"/>
      <c r="L721" s="124"/>
      <c r="M721" s="124"/>
      <c r="N721" s="124"/>
      <c r="O721" s="124"/>
      <c r="P721" s="124"/>
      <c r="Q721" s="124"/>
      <c r="R721" s="124"/>
      <c r="S721" s="124"/>
      <c r="T721" s="124"/>
      <c r="U721" s="124"/>
      <c r="V721" s="124"/>
      <c r="W721" s="124"/>
      <c r="X721" s="124"/>
      <c r="Y721" s="124"/>
      <c r="Z721" s="124"/>
      <c r="AA721" s="124"/>
      <c r="AB721" s="124"/>
      <c r="AC721" s="124"/>
      <c r="AD721" s="124"/>
      <c r="AE721" s="124"/>
      <c r="AF721" s="124"/>
      <c r="AG721" s="124"/>
      <c r="AH721" s="124"/>
      <c r="AI721" s="124"/>
      <c r="AJ721" s="124"/>
      <c r="AK721" s="124"/>
      <c r="AL721" s="124"/>
      <c r="AM721" s="124"/>
      <c r="AN721" s="124"/>
      <c r="AO721" s="124"/>
      <c r="AP721" s="124"/>
      <c r="AQ721" s="124"/>
      <c r="AR721" s="124"/>
      <c r="AS721" s="124"/>
      <c r="AT721" s="124"/>
      <c r="AU721" s="124"/>
      <c r="AV721" s="124"/>
      <c r="AW721" s="124"/>
      <c r="AX721" s="124"/>
      <c r="AY721" s="124"/>
      <c r="AZ721" s="124"/>
      <c r="BA721" s="124"/>
      <c r="BB721" s="124"/>
      <c r="BC721" s="124"/>
      <c r="BD721" s="124"/>
      <c r="BE721" s="124"/>
      <c r="BF721" s="124"/>
      <c r="BG721" s="124"/>
      <c r="BH721" s="124"/>
      <c r="BI721" s="124"/>
      <c r="BJ721" s="124"/>
      <c r="BK721" s="124"/>
      <c r="BL721" s="124"/>
      <c r="BM721" s="124"/>
      <c r="BN721" s="124"/>
      <c r="BO721" s="124"/>
      <c r="BP721" s="124"/>
    </row>
    <row r="722" spans="1:68" s="124" customFormat="1" hidden="1" x14ac:dyDescent="0.25">
      <c r="A722" s="104"/>
      <c r="B722" s="104" t="s">
        <v>279</v>
      </c>
      <c r="C722" s="489" t="s">
        <v>363</v>
      </c>
      <c r="D722" s="15" t="s">
        <v>299</v>
      </c>
      <c r="E722" s="13"/>
      <c r="F722" s="13"/>
      <c r="G722" s="10"/>
      <c r="H722" s="10"/>
      <c r="I722" s="10"/>
      <c r="J722" s="58"/>
    </row>
    <row r="723" spans="1:68" ht="30" hidden="1" x14ac:dyDescent="0.25">
      <c r="A723" s="104">
        <v>1</v>
      </c>
      <c r="B723" s="104" t="s">
        <v>279</v>
      </c>
      <c r="C723" s="489" t="s">
        <v>363</v>
      </c>
      <c r="D723" s="15" t="s">
        <v>300</v>
      </c>
      <c r="E723" s="41"/>
      <c r="F723" s="2">
        <v>100</v>
      </c>
      <c r="G723" s="2"/>
      <c r="H723" s="2"/>
      <c r="I723" s="2"/>
      <c r="J723" s="58"/>
      <c r="K723" s="124"/>
      <c r="L723" s="124"/>
      <c r="M723" s="124"/>
      <c r="N723" s="124"/>
      <c r="O723" s="124"/>
      <c r="P723" s="124"/>
      <c r="Q723" s="124"/>
      <c r="R723" s="124"/>
      <c r="S723" s="124"/>
      <c r="T723" s="124"/>
      <c r="U723" s="124"/>
      <c r="V723" s="124"/>
      <c r="W723" s="124"/>
      <c r="X723" s="124"/>
      <c r="Y723" s="124"/>
      <c r="Z723" s="124"/>
      <c r="AA723" s="124"/>
      <c r="AB723" s="124"/>
      <c r="AC723" s="124"/>
      <c r="AD723" s="124"/>
      <c r="AE723" s="124"/>
      <c r="AF723" s="124"/>
      <c r="AG723" s="124"/>
      <c r="AH723" s="124"/>
      <c r="AI723" s="124"/>
      <c r="AJ723" s="124"/>
      <c r="AK723" s="124"/>
      <c r="AL723" s="124"/>
      <c r="AM723" s="124"/>
      <c r="AN723" s="124"/>
      <c r="AO723" s="124"/>
      <c r="AP723" s="124"/>
      <c r="AQ723" s="124"/>
      <c r="AR723" s="124"/>
      <c r="AS723" s="124"/>
      <c r="AT723" s="124"/>
      <c r="AU723" s="124"/>
      <c r="AV723" s="124"/>
      <c r="AW723" s="124"/>
      <c r="AX723" s="124"/>
      <c r="AY723" s="124"/>
      <c r="AZ723" s="124"/>
      <c r="BA723" s="124"/>
      <c r="BB723" s="124"/>
      <c r="BC723" s="124"/>
      <c r="BD723" s="124"/>
      <c r="BE723" s="124"/>
      <c r="BF723" s="124"/>
      <c r="BG723" s="124"/>
      <c r="BH723" s="124"/>
      <c r="BI723" s="124"/>
      <c r="BJ723" s="124"/>
      <c r="BK723" s="124"/>
      <c r="BL723" s="124"/>
      <c r="BM723" s="124"/>
      <c r="BN723" s="124"/>
      <c r="BO723" s="124"/>
      <c r="BP723" s="124"/>
    </row>
    <row r="724" spans="1:68" ht="45" hidden="1" x14ac:dyDescent="0.25">
      <c r="A724" s="104">
        <v>1</v>
      </c>
      <c r="B724" s="104" t="s">
        <v>279</v>
      </c>
      <c r="C724" s="489" t="s">
        <v>363</v>
      </c>
      <c r="D724" s="15" t="s">
        <v>301</v>
      </c>
      <c r="E724" s="41"/>
      <c r="F724" s="10"/>
      <c r="G724" s="2"/>
      <c r="H724" s="2"/>
      <c r="I724" s="2"/>
      <c r="J724" s="58"/>
      <c r="K724" s="124"/>
      <c r="L724" s="124"/>
      <c r="M724" s="124"/>
      <c r="N724" s="124"/>
      <c r="O724" s="124"/>
      <c r="P724" s="124"/>
      <c r="Q724" s="124"/>
      <c r="R724" s="124"/>
      <c r="S724" s="124"/>
      <c r="T724" s="124"/>
      <c r="U724" s="124"/>
      <c r="V724" s="124"/>
      <c r="W724" s="124"/>
      <c r="X724" s="124"/>
      <c r="Y724" s="124"/>
      <c r="Z724" s="124"/>
      <c r="AA724" s="124"/>
      <c r="AB724" s="124"/>
      <c r="AC724" s="124"/>
      <c r="AD724" s="124"/>
      <c r="AE724" s="124"/>
      <c r="AF724" s="124"/>
      <c r="AG724" s="124"/>
      <c r="AH724" s="124"/>
      <c r="AI724" s="124"/>
      <c r="AJ724" s="124"/>
      <c r="AK724" s="124"/>
      <c r="AL724" s="124"/>
      <c r="AM724" s="124"/>
      <c r="AN724" s="124"/>
      <c r="AO724" s="124"/>
      <c r="AP724" s="124"/>
      <c r="AQ724" s="124"/>
      <c r="AR724" s="124"/>
      <c r="AS724" s="124"/>
      <c r="AT724" s="124"/>
      <c r="AU724" s="124"/>
      <c r="AV724" s="124"/>
      <c r="AW724" s="124"/>
      <c r="AX724" s="124"/>
      <c r="AY724" s="124"/>
      <c r="AZ724" s="124"/>
      <c r="BA724" s="124"/>
      <c r="BB724" s="124"/>
      <c r="BC724" s="124"/>
      <c r="BD724" s="124"/>
      <c r="BE724" s="124"/>
      <c r="BF724" s="124"/>
      <c r="BG724" s="124"/>
      <c r="BH724" s="124"/>
      <c r="BI724" s="124"/>
      <c r="BJ724" s="124"/>
      <c r="BK724" s="124"/>
      <c r="BL724" s="124"/>
      <c r="BM724" s="124"/>
      <c r="BN724" s="124"/>
      <c r="BO724" s="124"/>
      <c r="BP724" s="124"/>
    </row>
    <row r="725" spans="1:68" s="58" customFormat="1" ht="45" hidden="1" x14ac:dyDescent="0.25">
      <c r="A725" s="104">
        <v>1</v>
      </c>
      <c r="B725" s="104" t="s">
        <v>279</v>
      </c>
      <c r="C725" s="489" t="s">
        <v>363</v>
      </c>
      <c r="D725" s="15" t="s">
        <v>309</v>
      </c>
      <c r="E725" s="13"/>
      <c r="F725" s="2"/>
      <c r="G725" s="65"/>
      <c r="H725" s="65"/>
      <c r="I725" s="65"/>
    </row>
    <row r="726" spans="1:68" s="58" customFormat="1" ht="45" hidden="1" x14ac:dyDescent="0.25">
      <c r="A726" s="104">
        <v>1</v>
      </c>
      <c r="B726" s="104" t="s">
        <v>279</v>
      </c>
      <c r="C726" s="489" t="s">
        <v>363</v>
      </c>
      <c r="D726" s="18" t="s">
        <v>310</v>
      </c>
      <c r="E726" s="13"/>
      <c r="F726" s="2"/>
      <c r="G726" s="65"/>
      <c r="H726" s="65"/>
      <c r="I726" s="65"/>
    </row>
    <row r="727" spans="1:68" s="58" customFormat="1" ht="75" hidden="1" x14ac:dyDescent="0.25">
      <c r="A727" s="53"/>
      <c r="B727" s="109"/>
      <c r="C727" s="489" t="s">
        <v>363</v>
      </c>
      <c r="D727" s="18" t="s">
        <v>354</v>
      </c>
      <c r="E727" s="13"/>
      <c r="F727" s="55">
        <v>550</v>
      </c>
      <c r="G727" s="65"/>
      <c r="H727" s="65"/>
      <c r="I727" s="43"/>
      <c r="J727" s="52"/>
    </row>
    <row r="728" spans="1:68" s="58" customFormat="1" ht="28.5" hidden="1" x14ac:dyDescent="0.25">
      <c r="A728" s="53"/>
      <c r="B728" s="489"/>
      <c r="C728" s="489" t="s">
        <v>363</v>
      </c>
      <c r="D728" s="66" t="s">
        <v>344</v>
      </c>
      <c r="E728" s="13"/>
      <c r="F728" s="55">
        <f>F729</f>
        <v>646</v>
      </c>
      <c r="G728" s="59"/>
      <c r="H728" s="59"/>
      <c r="I728" s="81"/>
      <c r="J728" s="52"/>
    </row>
    <row r="729" spans="1:68" s="58" customFormat="1" hidden="1" x14ac:dyDescent="0.25">
      <c r="A729" s="53"/>
      <c r="B729" s="489"/>
      <c r="C729" s="489" t="s">
        <v>363</v>
      </c>
      <c r="D729" s="18" t="s">
        <v>345</v>
      </c>
      <c r="E729" s="13"/>
      <c r="F729" s="55">
        <v>646</v>
      </c>
      <c r="G729" s="59"/>
      <c r="H729" s="59"/>
      <c r="I729" s="81"/>
      <c r="J729" s="52"/>
    </row>
    <row r="730" spans="1:68" s="58" customFormat="1" ht="28.5" hidden="1" x14ac:dyDescent="0.25">
      <c r="A730" s="53"/>
      <c r="B730" s="489"/>
      <c r="C730" s="489" t="s">
        <v>363</v>
      </c>
      <c r="D730" s="66" t="s">
        <v>346</v>
      </c>
      <c r="E730" s="13"/>
      <c r="F730" s="55"/>
      <c r="G730" s="59"/>
      <c r="H730" s="59"/>
      <c r="I730" s="81"/>
      <c r="J730" s="52"/>
    </row>
    <row r="731" spans="1:68" s="58" customFormat="1" hidden="1" x14ac:dyDescent="0.25">
      <c r="A731" s="104">
        <v>1</v>
      </c>
      <c r="B731" s="104" t="s">
        <v>279</v>
      </c>
      <c r="C731" s="489" t="s">
        <v>363</v>
      </c>
      <c r="D731" s="14" t="s">
        <v>303</v>
      </c>
      <c r="E731" s="13"/>
      <c r="F731" s="2">
        <f>F732+F733</f>
        <v>531.91489361702122</v>
      </c>
      <c r="G731" s="65"/>
      <c r="H731" s="65"/>
      <c r="I731" s="65"/>
    </row>
    <row r="732" spans="1:68" s="58" customFormat="1" hidden="1" x14ac:dyDescent="0.25">
      <c r="A732" s="104">
        <v>1</v>
      </c>
      <c r="B732" s="104" t="s">
        <v>279</v>
      </c>
      <c r="C732" s="489" t="s">
        <v>363</v>
      </c>
      <c r="D732" s="14" t="s">
        <v>304</v>
      </c>
      <c r="E732" s="13"/>
      <c r="F732" s="2"/>
      <c r="G732" s="65"/>
      <c r="H732" s="65"/>
      <c r="I732" s="65"/>
    </row>
    <row r="733" spans="1:68" s="58" customFormat="1" hidden="1" x14ac:dyDescent="0.25">
      <c r="A733" s="104">
        <v>1</v>
      </c>
      <c r="B733" s="104" t="s">
        <v>279</v>
      </c>
      <c r="C733" s="489" t="s">
        <v>363</v>
      </c>
      <c r="D733" s="15" t="s">
        <v>305</v>
      </c>
      <c r="E733" s="13"/>
      <c r="F733" s="57">
        <f>F734/9.4</f>
        <v>531.91489361702122</v>
      </c>
      <c r="G733" s="65"/>
      <c r="H733" s="65"/>
      <c r="I733" s="65"/>
    </row>
    <row r="734" spans="1:68" s="58" customFormat="1" hidden="1" x14ac:dyDescent="0.25">
      <c r="A734" s="104">
        <v>1</v>
      </c>
      <c r="B734" s="104" t="s">
        <v>279</v>
      </c>
      <c r="C734" s="489" t="s">
        <v>363</v>
      </c>
      <c r="D734" s="42" t="s">
        <v>314</v>
      </c>
      <c r="E734" s="13"/>
      <c r="F734" s="57">
        <v>5000</v>
      </c>
      <c r="G734" s="65"/>
      <c r="H734" s="65"/>
      <c r="I734" s="65"/>
    </row>
    <row r="735" spans="1:68" s="58" customFormat="1" ht="29.25" hidden="1" x14ac:dyDescent="0.25">
      <c r="A735" s="104">
        <v>1</v>
      </c>
      <c r="B735" s="104" t="s">
        <v>279</v>
      </c>
      <c r="C735" s="489" t="s">
        <v>363</v>
      </c>
      <c r="D735" s="14" t="s">
        <v>306</v>
      </c>
      <c r="E735" s="13"/>
      <c r="F735" s="57">
        <v>1230</v>
      </c>
      <c r="G735" s="65"/>
      <c r="H735" s="65"/>
      <c r="I735" s="65"/>
    </row>
    <row r="736" spans="1:68" s="58" customFormat="1" hidden="1" x14ac:dyDescent="0.25">
      <c r="A736" s="104">
        <v>1</v>
      </c>
      <c r="B736" s="104" t="s">
        <v>279</v>
      </c>
      <c r="C736" s="489" t="s">
        <v>363</v>
      </c>
      <c r="D736" s="19" t="s">
        <v>115</v>
      </c>
      <c r="E736" s="13"/>
      <c r="F736" s="57"/>
      <c r="G736" s="65"/>
      <c r="H736" s="65"/>
      <c r="I736" s="65"/>
    </row>
    <row r="737" spans="1:68" s="58" customFormat="1" ht="57.75" hidden="1" x14ac:dyDescent="0.25">
      <c r="A737" s="104">
        <v>1</v>
      </c>
      <c r="B737" s="104" t="s">
        <v>279</v>
      </c>
      <c r="C737" s="489" t="s">
        <v>363</v>
      </c>
      <c r="D737" s="14" t="s">
        <v>307</v>
      </c>
      <c r="E737" s="13"/>
      <c r="F737" s="57">
        <v>300</v>
      </c>
      <c r="G737" s="65"/>
      <c r="H737" s="65"/>
      <c r="I737" s="65"/>
    </row>
    <row r="738" spans="1:68" s="58" customFormat="1" hidden="1" x14ac:dyDescent="0.25">
      <c r="A738" s="104">
        <v>1</v>
      </c>
      <c r="B738" s="104" t="s">
        <v>279</v>
      </c>
      <c r="C738" s="489" t="s">
        <v>363</v>
      </c>
      <c r="D738" s="20" t="s">
        <v>158</v>
      </c>
      <c r="E738" s="13"/>
      <c r="F738" s="94">
        <f>SUM(F739:F741)</f>
        <v>1413</v>
      </c>
      <c r="G738" s="65"/>
      <c r="H738" s="65"/>
      <c r="I738" s="65"/>
    </row>
    <row r="739" spans="1:68" s="58" customFormat="1" ht="75" hidden="1" x14ac:dyDescent="0.25">
      <c r="A739" s="104">
        <v>1</v>
      </c>
      <c r="B739" s="104" t="s">
        <v>279</v>
      </c>
      <c r="C739" s="489" t="s">
        <v>363</v>
      </c>
      <c r="D739" s="35" t="s">
        <v>321</v>
      </c>
      <c r="E739" s="13"/>
      <c r="F739" s="225">
        <v>116</v>
      </c>
      <c r="G739" s="65"/>
      <c r="H739" s="65"/>
      <c r="I739" s="65"/>
    </row>
    <row r="740" spans="1:68" s="58" customFormat="1" ht="30" hidden="1" x14ac:dyDescent="0.25">
      <c r="A740" s="104">
        <v>1</v>
      </c>
      <c r="B740" s="104" t="s">
        <v>279</v>
      </c>
      <c r="C740" s="489" t="s">
        <v>363</v>
      </c>
      <c r="D740" s="35" t="s">
        <v>203</v>
      </c>
      <c r="E740" s="13"/>
      <c r="F740" s="2">
        <v>244</v>
      </c>
      <c r="G740" s="65"/>
      <c r="H740" s="65"/>
      <c r="I740" s="65"/>
    </row>
    <row r="741" spans="1:68" s="58" customFormat="1" ht="30" hidden="1" x14ac:dyDescent="0.25">
      <c r="A741" s="104">
        <v>1</v>
      </c>
      <c r="B741" s="104" t="s">
        <v>279</v>
      </c>
      <c r="C741" s="489" t="s">
        <v>363</v>
      </c>
      <c r="D741" s="208" t="s">
        <v>202</v>
      </c>
      <c r="E741" s="13"/>
      <c r="F741" s="445">
        <v>1053</v>
      </c>
      <c r="G741" s="65"/>
      <c r="H741" s="65"/>
      <c r="I741" s="65"/>
    </row>
    <row r="742" spans="1:68" s="58" customFormat="1" hidden="1" x14ac:dyDescent="0.25">
      <c r="A742" s="104">
        <v>1</v>
      </c>
      <c r="B742" s="104" t="s">
        <v>279</v>
      </c>
      <c r="C742" s="489" t="s">
        <v>363</v>
      </c>
      <c r="D742" s="21" t="s">
        <v>198</v>
      </c>
      <c r="E742" s="13"/>
      <c r="F742" s="83">
        <f>F719+F698</f>
        <v>34839</v>
      </c>
      <c r="G742" s="65"/>
      <c r="H742" s="65"/>
      <c r="I742" s="65"/>
    </row>
    <row r="743" spans="1:68" s="58" customFormat="1" ht="29.25" hidden="1" x14ac:dyDescent="0.25">
      <c r="A743" s="104">
        <v>1</v>
      </c>
      <c r="B743" s="104" t="s">
        <v>279</v>
      </c>
      <c r="C743" s="489" t="s">
        <v>363</v>
      </c>
      <c r="D743" s="21" t="s">
        <v>199</v>
      </c>
      <c r="E743" s="13"/>
      <c r="F743" s="83">
        <f>F708</f>
        <v>9117.5499999999993</v>
      </c>
      <c r="G743" s="65"/>
      <c r="H743" s="65"/>
      <c r="I743" s="65"/>
    </row>
    <row r="744" spans="1:68" s="58" customFormat="1" hidden="1" x14ac:dyDescent="0.25">
      <c r="A744" s="104">
        <v>1</v>
      </c>
      <c r="B744" s="104" t="s">
        <v>279</v>
      </c>
      <c r="C744" s="489" t="s">
        <v>363</v>
      </c>
      <c r="D744" s="21" t="s">
        <v>200</v>
      </c>
      <c r="E744" s="13"/>
      <c r="F744" s="83">
        <f>F731+F706</f>
        <v>13361.91489361702</v>
      </c>
      <c r="G744" s="65"/>
      <c r="H744" s="65"/>
      <c r="I744" s="65"/>
    </row>
    <row r="745" spans="1:68" s="58" customFormat="1" ht="29.25" hidden="1" x14ac:dyDescent="0.25">
      <c r="A745" s="104">
        <v>1</v>
      </c>
      <c r="B745" s="104" t="s">
        <v>279</v>
      </c>
      <c r="C745" s="489" t="s">
        <v>363</v>
      </c>
      <c r="D745" s="21" t="s">
        <v>201</v>
      </c>
      <c r="E745" s="13"/>
      <c r="F745" s="29">
        <f>F735+F737</f>
        <v>1530</v>
      </c>
      <c r="G745" s="65"/>
      <c r="H745" s="65"/>
      <c r="I745" s="65"/>
    </row>
    <row r="746" spans="1:68" s="58" customFormat="1" hidden="1" x14ac:dyDescent="0.25">
      <c r="A746" s="104">
        <v>1</v>
      </c>
      <c r="B746" s="104" t="s">
        <v>279</v>
      </c>
      <c r="C746" s="489" t="s">
        <v>363</v>
      </c>
      <c r="D746" s="22" t="s">
        <v>109</v>
      </c>
      <c r="E746" s="13"/>
      <c r="F746" s="29">
        <f>F742+F743+F745+F707*2.9+F734/4.2</f>
        <v>83884.026190476186</v>
      </c>
      <c r="G746" s="65"/>
      <c r="H746" s="65"/>
      <c r="I746" s="65"/>
    </row>
    <row r="747" spans="1:68" ht="15.75" hidden="1" x14ac:dyDescent="0.25">
      <c r="A747" s="104">
        <v>1</v>
      </c>
      <c r="B747" s="104" t="s">
        <v>279</v>
      </c>
      <c r="C747" s="489" t="s">
        <v>363</v>
      </c>
      <c r="D747" s="23" t="s">
        <v>7</v>
      </c>
      <c r="E747" s="652"/>
      <c r="F747" s="2"/>
      <c r="G747" s="2"/>
      <c r="H747" s="2"/>
      <c r="I747" s="2"/>
      <c r="J747" s="124"/>
      <c r="K747" s="124"/>
      <c r="L747" s="124"/>
      <c r="M747" s="124"/>
      <c r="N747" s="124"/>
      <c r="O747" s="124"/>
      <c r="P747" s="124"/>
      <c r="Q747" s="124"/>
      <c r="R747" s="124"/>
      <c r="S747" s="124"/>
      <c r="T747" s="124"/>
      <c r="U747" s="124"/>
      <c r="V747" s="124"/>
      <c r="W747" s="124"/>
      <c r="X747" s="124"/>
      <c r="Y747" s="124"/>
      <c r="Z747" s="124"/>
      <c r="AA747" s="124"/>
      <c r="AB747" s="124"/>
      <c r="AC747" s="124"/>
      <c r="AD747" s="124"/>
      <c r="AE747" s="124"/>
      <c r="AF747" s="124"/>
      <c r="AG747" s="124"/>
      <c r="AH747" s="124"/>
      <c r="AI747" s="124"/>
      <c r="AJ747" s="124"/>
      <c r="AK747" s="124"/>
      <c r="AL747" s="124"/>
      <c r="AM747" s="124"/>
      <c r="AN747" s="124"/>
      <c r="AO747" s="124"/>
      <c r="AP747" s="124"/>
      <c r="AQ747" s="124"/>
      <c r="AR747" s="124"/>
      <c r="AS747" s="124"/>
      <c r="AT747" s="124"/>
      <c r="AU747" s="124"/>
      <c r="AV747" s="124"/>
      <c r="AW747" s="124"/>
      <c r="AX747" s="124"/>
      <c r="AY747" s="124"/>
      <c r="AZ747" s="124"/>
      <c r="BA747" s="124"/>
      <c r="BB747" s="124"/>
      <c r="BC747" s="124"/>
      <c r="BD747" s="124"/>
      <c r="BE747" s="124"/>
      <c r="BF747" s="124"/>
      <c r="BG747" s="124"/>
      <c r="BH747" s="124"/>
      <c r="BI747" s="124"/>
      <c r="BJ747" s="124"/>
      <c r="BK747" s="124"/>
      <c r="BL747" s="124"/>
      <c r="BM747" s="124"/>
      <c r="BN747" s="124"/>
      <c r="BO747" s="124"/>
      <c r="BP747" s="124"/>
    </row>
    <row r="748" spans="1:68" hidden="1" x14ac:dyDescent="0.25">
      <c r="A748" s="104">
        <v>1</v>
      </c>
      <c r="B748" s="104" t="s">
        <v>279</v>
      </c>
      <c r="C748" s="489" t="s">
        <v>363</v>
      </c>
      <c r="D748" s="40" t="s">
        <v>91</v>
      </c>
      <c r="E748" s="652"/>
      <c r="F748" s="2"/>
      <c r="G748" s="2"/>
      <c r="H748" s="2"/>
      <c r="I748" s="2"/>
      <c r="J748" s="124"/>
      <c r="K748" s="124"/>
      <c r="L748" s="124"/>
      <c r="M748" s="124"/>
      <c r="N748" s="124"/>
      <c r="O748" s="124"/>
      <c r="P748" s="124"/>
      <c r="Q748" s="124"/>
      <c r="R748" s="124"/>
      <c r="S748" s="124"/>
      <c r="T748" s="124"/>
      <c r="U748" s="124"/>
      <c r="V748" s="124"/>
      <c r="W748" s="124"/>
      <c r="X748" s="124"/>
      <c r="Y748" s="124"/>
      <c r="Z748" s="124"/>
      <c r="AA748" s="124"/>
      <c r="AB748" s="124"/>
      <c r="AC748" s="124"/>
      <c r="AD748" s="124"/>
      <c r="AE748" s="124"/>
      <c r="AF748" s="124"/>
      <c r="AG748" s="124"/>
      <c r="AH748" s="124"/>
      <c r="AI748" s="124"/>
      <c r="AJ748" s="124"/>
      <c r="AK748" s="124"/>
      <c r="AL748" s="124"/>
      <c r="AM748" s="124"/>
      <c r="AN748" s="124"/>
      <c r="AO748" s="124"/>
      <c r="AP748" s="124"/>
      <c r="AQ748" s="124"/>
      <c r="AR748" s="124"/>
      <c r="AS748" s="124"/>
      <c r="AT748" s="124"/>
      <c r="AU748" s="124"/>
      <c r="AV748" s="124"/>
      <c r="AW748" s="124"/>
      <c r="AX748" s="124"/>
      <c r="AY748" s="124"/>
      <c r="AZ748" s="124"/>
      <c r="BA748" s="124"/>
      <c r="BB748" s="124"/>
      <c r="BC748" s="124"/>
      <c r="BD748" s="124"/>
      <c r="BE748" s="124"/>
      <c r="BF748" s="124"/>
      <c r="BG748" s="124"/>
      <c r="BH748" s="124"/>
      <c r="BI748" s="124"/>
      <c r="BJ748" s="124"/>
      <c r="BK748" s="124"/>
      <c r="BL748" s="124"/>
      <c r="BM748" s="124"/>
      <c r="BN748" s="124"/>
      <c r="BO748" s="124"/>
      <c r="BP748" s="124"/>
    </row>
    <row r="749" spans="1:68" hidden="1" x14ac:dyDescent="0.25">
      <c r="A749" s="104">
        <v>1</v>
      </c>
      <c r="B749" s="104" t="s">
        <v>279</v>
      </c>
      <c r="C749" s="489" t="s">
        <v>363</v>
      </c>
      <c r="D749" s="1" t="s">
        <v>21</v>
      </c>
      <c r="E749" s="45">
        <v>300</v>
      </c>
      <c r="F749" s="57">
        <v>140</v>
      </c>
      <c r="G749" s="47">
        <v>6.1</v>
      </c>
      <c r="H749" s="96">
        <f>ROUND(I749/E749,0)</f>
        <v>3</v>
      </c>
      <c r="I749" s="96">
        <f>ROUND(F749*G749,0)</f>
        <v>854</v>
      </c>
      <c r="J749" s="124"/>
      <c r="K749" s="124"/>
      <c r="L749" s="124"/>
      <c r="M749" s="124"/>
      <c r="N749" s="124"/>
      <c r="O749" s="124"/>
      <c r="P749" s="124"/>
      <c r="Q749" s="124"/>
      <c r="R749" s="124"/>
      <c r="S749" s="124"/>
      <c r="T749" s="124"/>
      <c r="U749" s="124"/>
      <c r="V749" s="124"/>
      <c r="W749" s="124"/>
      <c r="X749" s="124"/>
      <c r="Y749" s="124"/>
      <c r="Z749" s="124"/>
      <c r="AA749" s="124"/>
      <c r="AB749" s="124"/>
      <c r="AC749" s="124"/>
      <c r="AD749" s="124"/>
      <c r="AE749" s="124"/>
      <c r="AF749" s="124"/>
      <c r="AG749" s="124"/>
      <c r="AH749" s="124"/>
      <c r="AI749" s="124"/>
      <c r="AJ749" s="124"/>
      <c r="AK749" s="124"/>
      <c r="AL749" s="124"/>
      <c r="AM749" s="124"/>
      <c r="AN749" s="124"/>
      <c r="AO749" s="124"/>
      <c r="AP749" s="124"/>
      <c r="AQ749" s="124"/>
      <c r="AR749" s="124"/>
      <c r="AS749" s="124"/>
      <c r="AT749" s="124"/>
      <c r="AU749" s="124"/>
      <c r="AV749" s="124"/>
      <c r="AW749" s="124"/>
      <c r="AX749" s="124"/>
      <c r="AY749" s="124"/>
      <c r="AZ749" s="124"/>
      <c r="BA749" s="124"/>
      <c r="BB749" s="124"/>
      <c r="BC749" s="124"/>
      <c r="BD749" s="124"/>
      <c r="BE749" s="124"/>
      <c r="BF749" s="124"/>
      <c r="BG749" s="124"/>
      <c r="BH749" s="124"/>
      <c r="BI749" s="124"/>
      <c r="BJ749" s="124"/>
      <c r="BK749" s="124"/>
      <c r="BL749" s="124"/>
      <c r="BM749" s="124"/>
      <c r="BN749" s="124"/>
      <c r="BO749" s="124"/>
      <c r="BP749" s="124"/>
    </row>
    <row r="750" spans="1:68" hidden="1" x14ac:dyDescent="0.25">
      <c r="A750" s="104">
        <v>1</v>
      </c>
      <c r="B750" s="104" t="s">
        <v>279</v>
      </c>
      <c r="C750" s="489" t="s">
        <v>363</v>
      </c>
      <c r="D750" s="1" t="s">
        <v>19</v>
      </c>
      <c r="E750" s="45">
        <v>300</v>
      </c>
      <c r="F750" s="57">
        <v>324</v>
      </c>
      <c r="G750" s="47">
        <v>10.5</v>
      </c>
      <c r="H750" s="96">
        <f>ROUND(I750/E750,0)</f>
        <v>11</v>
      </c>
      <c r="I750" s="96">
        <f>ROUND(F750*G750,0)</f>
        <v>3402</v>
      </c>
      <c r="J750" s="124"/>
      <c r="K750" s="124"/>
      <c r="L750" s="124"/>
      <c r="M750" s="124"/>
      <c r="N750" s="124"/>
      <c r="O750" s="124"/>
      <c r="P750" s="124"/>
      <c r="Q750" s="124"/>
      <c r="R750" s="124"/>
      <c r="S750" s="124"/>
      <c r="T750" s="124"/>
      <c r="U750" s="124"/>
      <c r="V750" s="124"/>
      <c r="W750" s="124"/>
      <c r="X750" s="124"/>
      <c r="Y750" s="124"/>
      <c r="Z750" s="124"/>
      <c r="AA750" s="124"/>
      <c r="AB750" s="124"/>
      <c r="AC750" s="124"/>
      <c r="AD750" s="124"/>
      <c r="AE750" s="124"/>
      <c r="AF750" s="124"/>
      <c r="AG750" s="124"/>
      <c r="AH750" s="124"/>
      <c r="AI750" s="124"/>
      <c r="AJ750" s="124"/>
      <c r="AK750" s="124"/>
      <c r="AL750" s="124"/>
      <c r="AM750" s="124"/>
      <c r="AN750" s="124"/>
      <c r="AO750" s="124"/>
      <c r="AP750" s="124"/>
      <c r="AQ750" s="124"/>
      <c r="AR750" s="124"/>
      <c r="AS750" s="124"/>
      <c r="AT750" s="124"/>
      <c r="AU750" s="124"/>
      <c r="AV750" s="124"/>
      <c r="AW750" s="124"/>
      <c r="AX750" s="124"/>
      <c r="AY750" s="124"/>
      <c r="AZ750" s="124"/>
      <c r="BA750" s="124"/>
      <c r="BB750" s="124"/>
      <c r="BC750" s="124"/>
      <c r="BD750" s="124"/>
      <c r="BE750" s="124"/>
      <c r="BF750" s="124"/>
      <c r="BG750" s="124"/>
      <c r="BH750" s="124"/>
      <c r="BI750" s="124"/>
      <c r="BJ750" s="124"/>
      <c r="BK750" s="124"/>
      <c r="BL750" s="124"/>
      <c r="BM750" s="124"/>
      <c r="BN750" s="124"/>
      <c r="BO750" s="124"/>
      <c r="BP750" s="124"/>
    </row>
    <row r="751" spans="1:68" hidden="1" x14ac:dyDescent="0.25">
      <c r="A751" s="104">
        <v>1</v>
      </c>
      <c r="B751" s="104" t="s">
        <v>279</v>
      </c>
      <c r="C751" s="489" t="s">
        <v>363</v>
      </c>
      <c r="D751" s="46" t="s">
        <v>10</v>
      </c>
      <c r="E751" s="45">
        <v>300</v>
      </c>
      <c r="F751" s="57">
        <v>246</v>
      </c>
      <c r="G751" s="47">
        <v>10</v>
      </c>
      <c r="H751" s="96">
        <f>ROUND(I751/E751,0)</f>
        <v>8</v>
      </c>
      <c r="I751" s="96">
        <f>ROUND(F751*G751,0)</f>
        <v>2460</v>
      </c>
      <c r="J751" s="124"/>
      <c r="K751" s="124"/>
      <c r="L751" s="124"/>
      <c r="M751" s="124"/>
      <c r="N751" s="124"/>
      <c r="O751" s="124"/>
      <c r="P751" s="124"/>
      <c r="Q751" s="124"/>
      <c r="R751" s="124"/>
      <c r="S751" s="124"/>
      <c r="T751" s="124"/>
      <c r="U751" s="124"/>
      <c r="V751" s="124"/>
      <c r="W751" s="124"/>
      <c r="X751" s="124"/>
      <c r="Y751" s="124"/>
      <c r="Z751" s="124"/>
      <c r="AA751" s="124"/>
      <c r="AB751" s="124"/>
      <c r="AC751" s="124"/>
      <c r="AD751" s="124"/>
      <c r="AE751" s="124"/>
      <c r="AF751" s="124"/>
      <c r="AG751" s="124"/>
      <c r="AH751" s="124"/>
      <c r="AI751" s="124"/>
      <c r="AJ751" s="124"/>
      <c r="AK751" s="124"/>
      <c r="AL751" s="124"/>
      <c r="AM751" s="124"/>
      <c r="AN751" s="124"/>
      <c r="AO751" s="124"/>
      <c r="AP751" s="124"/>
      <c r="AQ751" s="124"/>
      <c r="AR751" s="124"/>
      <c r="AS751" s="124"/>
      <c r="AT751" s="124"/>
      <c r="AU751" s="124"/>
      <c r="AV751" s="124"/>
      <c r="AW751" s="124"/>
      <c r="AX751" s="124"/>
      <c r="AY751" s="124"/>
      <c r="AZ751" s="124"/>
      <c r="BA751" s="124"/>
      <c r="BB751" s="124"/>
      <c r="BC751" s="124"/>
      <c r="BD751" s="124"/>
      <c r="BE751" s="124"/>
      <c r="BF751" s="124"/>
      <c r="BG751" s="124"/>
      <c r="BH751" s="124"/>
      <c r="BI751" s="124"/>
      <c r="BJ751" s="124"/>
      <c r="BK751" s="124"/>
      <c r="BL751" s="124"/>
      <c r="BM751" s="124"/>
      <c r="BN751" s="124"/>
      <c r="BO751" s="124"/>
      <c r="BP751" s="124"/>
    </row>
    <row r="752" spans="1:68" hidden="1" x14ac:dyDescent="0.25">
      <c r="A752" s="104">
        <v>1</v>
      </c>
      <c r="B752" s="104" t="s">
        <v>279</v>
      </c>
      <c r="C752" s="489" t="s">
        <v>363</v>
      </c>
      <c r="D752" s="30" t="s">
        <v>9</v>
      </c>
      <c r="E752" s="97"/>
      <c r="F752" s="98">
        <f>SUM(F749:F751)</f>
        <v>710</v>
      </c>
      <c r="G752" s="143">
        <f>I752/F752</f>
        <v>9.4591549295774655</v>
      </c>
      <c r="H752" s="99">
        <f>H749+H750+H751</f>
        <v>22</v>
      </c>
      <c r="I752" s="99">
        <f>I749+I750+I751</f>
        <v>6716</v>
      </c>
      <c r="J752" s="124"/>
      <c r="K752" s="124"/>
      <c r="L752" s="124"/>
      <c r="M752" s="124"/>
      <c r="N752" s="124"/>
      <c r="O752" s="124"/>
      <c r="P752" s="124"/>
      <c r="Q752" s="124"/>
      <c r="R752" s="124"/>
      <c r="S752" s="124"/>
      <c r="T752" s="124"/>
      <c r="U752" s="124"/>
      <c r="V752" s="124"/>
      <c r="W752" s="124"/>
      <c r="X752" s="124"/>
      <c r="Y752" s="124"/>
      <c r="Z752" s="124"/>
      <c r="AA752" s="124"/>
      <c r="AB752" s="124"/>
      <c r="AC752" s="124"/>
      <c r="AD752" s="124"/>
      <c r="AE752" s="124"/>
      <c r="AF752" s="124"/>
      <c r="AG752" s="124"/>
      <c r="AH752" s="124"/>
      <c r="AI752" s="124"/>
      <c r="AJ752" s="124"/>
      <c r="AK752" s="124"/>
      <c r="AL752" s="124"/>
      <c r="AM752" s="124"/>
      <c r="AN752" s="124"/>
      <c r="AO752" s="124"/>
      <c r="AP752" s="124"/>
      <c r="AQ752" s="124"/>
      <c r="AR752" s="124"/>
      <c r="AS752" s="124"/>
      <c r="AT752" s="124"/>
      <c r="AU752" s="124"/>
      <c r="AV752" s="124"/>
      <c r="AW752" s="124"/>
      <c r="AX752" s="124"/>
      <c r="AY752" s="124"/>
      <c r="AZ752" s="124"/>
      <c r="BA752" s="124"/>
      <c r="BB752" s="124"/>
      <c r="BC752" s="124"/>
      <c r="BD752" s="124"/>
      <c r="BE752" s="124"/>
      <c r="BF752" s="124"/>
      <c r="BG752" s="124"/>
      <c r="BH752" s="124"/>
      <c r="BI752" s="124"/>
      <c r="BJ752" s="124"/>
      <c r="BK752" s="124"/>
      <c r="BL752" s="124"/>
      <c r="BM752" s="124"/>
      <c r="BN752" s="124"/>
      <c r="BO752" s="124"/>
      <c r="BP752" s="124"/>
    </row>
    <row r="753" spans="1:68" hidden="1" x14ac:dyDescent="0.25">
      <c r="A753" s="104">
        <v>1</v>
      </c>
      <c r="B753" s="104" t="s">
        <v>279</v>
      </c>
      <c r="C753" s="489" t="s">
        <v>363</v>
      </c>
      <c r="D753" s="40" t="s">
        <v>18</v>
      </c>
      <c r="E753" s="97"/>
      <c r="F753" s="658"/>
      <c r="G753" s="100"/>
      <c r="H753" s="659"/>
      <c r="I753" s="659"/>
      <c r="J753" s="124"/>
      <c r="K753" s="124"/>
      <c r="L753" s="124"/>
      <c r="M753" s="124"/>
      <c r="N753" s="124"/>
      <c r="O753" s="124"/>
      <c r="P753" s="124"/>
      <c r="Q753" s="124"/>
      <c r="R753" s="124"/>
      <c r="S753" s="124"/>
      <c r="T753" s="124"/>
      <c r="U753" s="124"/>
      <c r="V753" s="124"/>
      <c r="W753" s="124"/>
      <c r="X753" s="124"/>
      <c r="Y753" s="124"/>
      <c r="Z753" s="124"/>
      <c r="AA753" s="124"/>
      <c r="AB753" s="124"/>
      <c r="AC753" s="124"/>
      <c r="AD753" s="124"/>
      <c r="AE753" s="124"/>
      <c r="AF753" s="124"/>
      <c r="AG753" s="124"/>
      <c r="AH753" s="124"/>
      <c r="AI753" s="124"/>
      <c r="AJ753" s="124"/>
      <c r="AK753" s="124"/>
      <c r="AL753" s="124"/>
      <c r="AM753" s="124"/>
      <c r="AN753" s="124"/>
      <c r="AO753" s="124"/>
      <c r="AP753" s="124"/>
      <c r="AQ753" s="124"/>
      <c r="AR753" s="124"/>
      <c r="AS753" s="124"/>
      <c r="AT753" s="124"/>
      <c r="AU753" s="124"/>
      <c r="AV753" s="124"/>
      <c r="AW753" s="124"/>
      <c r="AX753" s="124"/>
      <c r="AY753" s="124"/>
      <c r="AZ753" s="124"/>
      <c r="BA753" s="124"/>
      <c r="BB753" s="124"/>
      <c r="BC753" s="124"/>
      <c r="BD753" s="124"/>
      <c r="BE753" s="124"/>
      <c r="BF753" s="124"/>
      <c r="BG753" s="124"/>
      <c r="BH753" s="124"/>
      <c r="BI753" s="124"/>
      <c r="BJ753" s="124"/>
      <c r="BK753" s="124"/>
      <c r="BL753" s="124"/>
      <c r="BM753" s="124"/>
      <c r="BN753" s="124"/>
      <c r="BO753" s="124"/>
      <c r="BP753" s="124"/>
    </row>
    <row r="754" spans="1:68" hidden="1" x14ac:dyDescent="0.25">
      <c r="A754" s="104">
        <v>1</v>
      </c>
      <c r="B754" s="104" t="s">
        <v>279</v>
      </c>
      <c r="C754" s="489" t="s">
        <v>363</v>
      </c>
      <c r="D754" s="1" t="s">
        <v>35</v>
      </c>
      <c r="E754" s="652">
        <v>240</v>
      </c>
      <c r="F754" s="2">
        <v>764</v>
      </c>
      <c r="G754" s="355">
        <v>8</v>
      </c>
      <c r="H754" s="2">
        <f>ROUND(I754/E754,0)</f>
        <v>25</v>
      </c>
      <c r="I754" s="2">
        <f>ROUND(F754*G754,0)</f>
        <v>6112</v>
      </c>
      <c r="J754" s="124"/>
      <c r="K754" s="124"/>
      <c r="L754" s="124"/>
      <c r="M754" s="124"/>
      <c r="N754" s="124"/>
      <c r="O754" s="124"/>
      <c r="P754" s="124"/>
      <c r="Q754" s="124"/>
      <c r="R754" s="124"/>
      <c r="S754" s="124"/>
      <c r="T754" s="124"/>
      <c r="U754" s="124"/>
      <c r="V754" s="124"/>
      <c r="W754" s="124"/>
      <c r="X754" s="124"/>
      <c r="Y754" s="124"/>
      <c r="Z754" s="124"/>
      <c r="AA754" s="124"/>
      <c r="AB754" s="124"/>
      <c r="AC754" s="124"/>
      <c r="AD754" s="124"/>
      <c r="AE754" s="124"/>
      <c r="AF754" s="124"/>
      <c r="AG754" s="124"/>
      <c r="AH754" s="124"/>
      <c r="AI754" s="124"/>
      <c r="AJ754" s="124"/>
      <c r="AK754" s="124"/>
      <c r="AL754" s="124"/>
      <c r="AM754" s="124"/>
      <c r="AN754" s="124"/>
      <c r="AO754" s="124"/>
      <c r="AP754" s="124"/>
      <c r="AQ754" s="124"/>
      <c r="AR754" s="124"/>
      <c r="AS754" s="124"/>
      <c r="AT754" s="124"/>
      <c r="AU754" s="124"/>
      <c r="AV754" s="124"/>
      <c r="AW754" s="124"/>
      <c r="AX754" s="124"/>
      <c r="AY754" s="124"/>
      <c r="AZ754" s="124"/>
      <c r="BA754" s="124"/>
      <c r="BB754" s="124"/>
      <c r="BC754" s="124"/>
      <c r="BD754" s="124"/>
      <c r="BE754" s="124"/>
      <c r="BF754" s="124"/>
      <c r="BG754" s="124"/>
      <c r="BH754" s="124"/>
      <c r="BI754" s="124"/>
      <c r="BJ754" s="124"/>
      <c r="BK754" s="124"/>
      <c r="BL754" s="124"/>
      <c r="BM754" s="124"/>
      <c r="BN754" s="124"/>
      <c r="BO754" s="124"/>
      <c r="BP754" s="124"/>
    </row>
    <row r="755" spans="1:68" hidden="1" x14ac:dyDescent="0.25">
      <c r="A755" s="104">
        <v>1</v>
      </c>
      <c r="B755" s="104" t="s">
        <v>279</v>
      </c>
      <c r="C755" s="489" t="s">
        <v>363</v>
      </c>
      <c r="D755" s="634" t="s">
        <v>92</v>
      </c>
      <c r="E755" s="653"/>
      <c r="F755" s="31">
        <f>SUM(F754)</f>
        <v>764</v>
      </c>
      <c r="G755" s="592">
        <f>I755/F755</f>
        <v>8</v>
      </c>
      <c r="H755" s="31">
        <f>SUM(H754:H754)</f>
        <v>25</v>
      </c>
      <c r="I755" s="31">
        <f>SUM(I754:I754)</f>
        <v>6112</v>
      </c>
      <c r="J755" s="124"/>
      <c r="K755" s="124"/>
      <c r="L755" s="124"/>
      <c r="M755" s="124"/>
      <c r="N755" s="124"/>
      <c r="O755" s="124"/>
      <c r="P755" s="124"/>
      <c r="Q755" s="124"/>
      <c r="R755" s="124"/>
      <c r="S755" s="124"/>
      <c r="T755" s="124"/>
      <c r="U755" s="124"/>
      <c r="V755" s="124"/>
      <c r="W755" s="124"/>
      <c r="X755" s="124"/>
      <c r="Y755" s="124"/>
      <c r="Z755" s="124"/>
      <c r="AA755" s="124"/>
      <c r="AB755" s="124"/>
      <c r="AC755" s="124"/>
      <c r="AD755" s="124"/>
      <c r="AE755" s="124"/>
      <c r="AF755" s="124"/>
      <c r="AG755" s="124"/>
      <c r="AH755" s="124"/>
      <c r="AI755" s="124"/>
      <c r="AJ755" s="124"/>
      <c r="AK755" s="124"/>
      <c r="AL755" s="124"/>
      <c r="AM755" s="124"/>
      <c r="AN755" s="124"/>
      <c r="AO755" s="124"/>
      <c r="AP755" s="124"/>
      <c r="AQ755" s="124"/>
      <c r="AR755" s="124"/>
      <c r="AS755" s="124"/>
      <c r="AT755" s="124"/>
      <c r="AU755" s="124"/>
      <c r="AV755" s="124"/>
      <c r="AW755" s="124"/>
      <c r="AX755" s="124"/>
      <c r="AY755" s="124"/>
      <c r="AZ755" s="124"/>
      <c r="BA755" s="124"/>
      <c r="BB755" s="124"/>
      <c r="BC755" s="124"/>
      <c r="BD755" s="124"/>
      <c r="BE755" s="124"/>
      <c r="BF755" s="124"/>
      <c r="BG755" s="124"/>
      <c r="BH755" s="124"/>
      <c r="BI755" s="124"/>
      <c r="BJ755" s="124"/>
      <c r="BK755" s="124"/>
      <c r="BL755" s="124"/>
      <c r="BM755" s="124"/>
      <c r="BN755" s="124"/>
      <c r="BO755" s="124"/>
      <c r="BP755" s="124"/>
    </row>
    <row r="756" spans="1:68" hidden="1" x14ac:dyDescent="0.25">
      <c r="A756" s="104">
        <v>1</v>
      </c>
      <c r="B756" s="104" t="s">
        <v>279</v>
      </c>
      <c r="C756" s="489" t="s">
        <v>363</v>
      </c>
      <c r="D756" s="26" t="s">
        <v>86</v>
      </c>
      <c r="E756" s="142"/>
      <c r="F756" s="29">
        <f>SUM(F755,F752)</f>
        <v>1474</v>
      </c>
      <c r="G756" s="143">
        <f>I756/F756</f>
        <v>8.7028493894165528</v>
      </c>
      <c r="H756" s="29">
        <f>H752+H755</f>
        <v>47</v>
      </c>
      <c r="I756" s="29">
        <f>I752+I755</f>
        <v>12828</v>
      </c>
    </row>
    <row r="757" spans="1:68" s="124" customFormat="1" ht="15.75" hidden="1" thickBot="1" x14ac:dyDescent="0.3">
      <c r="A757" s="104">
        <v>1</v>
      </c>
      <c r="B757" s="104" t="s">
        <v>279</v>
      </c>
      <c r="C757" s="489" t="s">
        <v>363</v>
      </c>
      <c r="D757" s="655" t="s">
        <v>220</v>
      </c>
      <c r="E757" s="656"/>
      <c r="F757" s="656"/>
      <c r="G757" s="656"/>
      <c r="H757" s="656"/>
      <c r="I757" s="656"/>
    </row>
    <row r="758" spans="1:68" s="124" customFormat="1" hidden="1" x14ac:dyDescent="0.25">
      <c r="A758" s="104">
        <v>1</v>
      </c>
      <c r="B758" s="104"/>
      <c r="C758" s="489" t="s">
        <v>363</v>
      </c>
      <c r="D758" s="660"/>
      <c r="E758" s="654"/>
      <c r="F758" s="424"/>
      <c r="G758" s="424"/>
      <c r="H758" s="424"/>
      <c r="I758" s="424"/>
    </row>
    <row r="759" spans="1:68" s="124" customFormat="1" ht="31.5" hidden="1" x14ac:dyDescent="0.25">
      <c r="A759" s="104">
        <v>1</v>
      </c>
      <c r="B759" s="109" t="s">
        <v>280</v>
      </c>
      <c r="C759" s="489" t="s">
        <v>363</v>
      </c>
      <c r="D759" s="678" t="s">
        <v>430</v>
      </c>
      <c r="E759" s="190"/>
      <c r="F759" s="2"/>
      <c r="G759" s="2"/>
      <c r="H759" s="2"/>
      <c r="I759" s="2"/>
    </row>
    <row r="760" spans="1:68" s="124" customFormat="1" hidden="1" x14ac:dyDescent="0.25">
      <c r="A760" s="104">
        <v>1</v>
      </c>
      <c r="B760" s="109" t="s">
        <v>280</v>
      </c>
      <c r="C760" s="489" t="s">
        <v>363</v>
      </c>
      <c r="D760" s="112" t="s">
        <v>4</v>
      </c>
      <c r="E760" s="190"/>
      <c r="F760" s="2"/>
      <c r="G760" s="2"/>
      <c r="H760" s="2"/>
      <c r="I760" s="2"/>
    </row>
    <row r="761" spans="1:68" s="124" customFormat="1" hidden="1" x14ac:dyDescent="0.25">
      <c r="A761" s="104">
        <v>1</v>
      </c>
      <c r="B761" s="109" t="s">
        <v>280</v>
      </c>
      <c r="C761" s="489" t="s">
        <v>363</v>
      </c>
      <c r="D761" s="117" t="s">
        <v>35</v>
      </c>
      <c r="E761" s="354">
        <v>340</v>
      </c>
      <c r="F761" s="2"/>
      <c r="G761" s="355">
        <v>11.6</v>
      </c>
      <c r="H761" s="2">
        <f>ROUND(I761/E761,0)</f>
        <v>0</v>
      </c>
      <c r="I761" s="2">
        <f>ROUND(F761*G761,0)</f>
        <v>0</v>
      </c>
    </row>
    <row r="762" spans="1:68" s="124" customFormat="1" hidden="1" x14ac:dyDescent="0.25">
      <c r="A762" s="104">
        <v>1</v>
      </c>
      <c r="B762" s="109" t="s">
        <v>280</v>
      </c>
      <c r="C762" s="489" t="s">
        <v>363</v>
      </c>
      <c r="D762" s="589" t="s">
        <v>5</v>
      </c>
      <c r="E762" s="190"/>
      <c r="F762" s="29">
        <f>SUM(F761)</f>
        <v>0</v>
      </c>
      <c r="G762" s="143" t="e">
        <f>I762/F762</f>
        <v>#DIV/0!</v>
      </c>
      <c r="H762" s="29">
        <f>H761</f>
        <v>0</v>
      </c>
      <c r="I762" s="29">
        <f>I761</f>
        <v>0</v>
      </c>
    </row>
    <row r="763" spans="1:68" s="58" customFormat="1" hidden="1" x14ac:dyDescent="0.25">
      <c r="A763" s="104">
        <v>1</v>
      </c>
      <c r="B763" s="109" t="s">
        <v>280</v>
      </c>
      <c r="C763" s="489" t="s">
        <v>363</v>
      </c>
      <c r="D763" s="12" t="s">
        <v>294</v>
      </c>
      <c r="E763" s="12"/>
      <c r="F763" s="84"/>
      <c r="G763" s="57"/>
      <c r="H763" s="57"/>
      <c r="I763" s="57"/>
    </row>
    <row r="764" spans="1:68" s="58" customFormat="1" hidden="1" x14ac:dyDescent="0.25">
      <c r="A764" s="104"/>
      <c r="B764" s="109" t="s">
        <v>280</v>
      </c>
      <c r="C764" s="489" t="s">
        <v>363</v>
      </c>
      <c r="D764" s="14" t="s">
        <v>187</v>
      </c>
      <c r="E764" s="12"/>
      <c r="F764" s="84">
        <f>F766+F767+F769+F768+F771</f>
        <v>12562</v>
      </c>
      <c r="G764" s="57"/>
      <c r="H764" s="57"/>
      <c r="I764" s="57"/>
    </row>
    <row r="765" spans="1:68" s="58" customFormat="1" hidden="1" x14ac:dyDescent="0.25">
      <c r="A765" s="104"/>
      <c r="B765" s="109" t="s">
        <v>280</v>
      </c>
      <c r="C765" s="489" t="s">
        <v>363</v>
      </c>
      <c r="D765" s="18" t="s">
        <v>113</v>
      </c>
      <c r="E765" s="12"/>
      <c r="F765" s="84"/>
      <c r="G765" s="57"/>
      <c r="H765" s="57"/>
      <c r="I765" s="57"/>
    </row>
    <row r="766" spans="1:68" s="58" customFormat="1" ht="30" hidden="1" x14ac:dyDescent="0.25">
      <c r="A766" s="104"/>
      <c r="B766" s="109" t="s">
        <v>280</v>
      </c>
      <c r="C766" s="489" t="s">
        <v>363</v>
      </c>
      <c r="D766" s="18" t="s">
        <v>114</v>
      </c>
      <c r="E766" s="12"/>
      <c r="F766" s="65">
        <v>1450</v>
      </c>
      <c r="G766" s="57"/>
      <c r="H766" s="57"/>
      <c r="I766" s="57"/>
    </row>
    <row r="767" spans="1:68" s="58" customFormat="1" ht="30" hidden="1" x14ac:dyDescent="0.25">
      <c r="A767" s="104"/>
      <c r="B767" s="109" t="s">
        <v>280</v>
      </c>
      <c r="C767" s="489" t="s">
        <v>363</v>
      </c>
      <c r="D767" s="16" t="s">
        <v>361</v>
      </c>
      <c r="E767" s="12"/>
      <c r="F767" s="84">
        <v>3991</v>
      </c>
      <c r="G767" s="57"/>
      <c r="H767" s="57"/>
      <c r="I767" s="57"/>
    </row>
    <row r="768" spans="1:68" s="58" customFormat="1" ht="45" hidden="1" x14ac:dyDescent="0.25">
      <c r="A768" s="104"/>
      <c r="B768" s="109" t="s">
        <v>280</v>
      </c>
      <c r="C768" s="489" t="s">
        <v>363</v>
      </c>
      <c r="D768" s="15" t="s">
        <v>219</v>
      </c>
      <c r="E768" s="12"/>
      <c r="F768" s="65">
        <v>2500</v>
      </c>
      <c r="G768" s="57"/>
      <c r="H768" s="57"/>
      <c r="I768" s="57"/>
    </row>
    <row r="769" spans="1:9" s="58" customFormat="1" ht="45" hidden="1" x14ac:dyDescent="0.25">
      <c r="A769" s="104"/>
      <c r="B769" s="109" t="s">
        <v>280</v>
      </c>
      <c r="C769" s="489" t="s">
        <v>363</v>
      </c>
      <c r="D769" s="15" t="s">
        <v>188</v>
      </c>
      <c r="E769" s="12"/>
      <c r="F769" s="65">
        <v>4050</v>
      </c>
      <c r="G769" s="57"/>
      <c r="H769" s="57"/>
      <c r="I769" s="57"/>
    </row>
    <row r="770" spans="1:9" s="58" customFormat="1" ht="75" hidden="1" x14ac:dyDescent="0.25">
      <c r="A770" s="104"/>
      <c r="B770" s="109"/>
      <c r="C770" s="489" t="s">
        <v>363</v>
      </c>
      <c r="D770" s="15" t="s">
        <v>353</v>
      </c>
      <c r="E770" s="12"/>
      <c r="F770" s="65">
        <v>2000</v>
      </c>
      <c r="G770" s="57"/>
      <c r="H770" s="57"/>
      <c r="I770" s="57"/>
    </row>
    <row r="771" spans="1:9" s="58" customFormat="1" ht="30" hidden="1" x14ac:dyDescent="0.25">
      <c r="A771" s="104"/>
      <c r="B771" s="109"/>
      <c r="C771" s="489" t="s">
        <v>363</v>
      </c>
      <c r="D771" s="15" t="s">
        <v>293</v>
      </c>
      <c r="E771" s="12"/>
      <c r="F771" s="65">
        <v>571</v>
      </c>
      <c r="G771" s="57"/>
      <c r="H771" s="57"/>
      <c r="I771" s="57"/>
    </row>
    <row r="772" spans="1:9" s="58" customFormat="1" hidden="1" x14ac:dyDescent="0.25">
      <c r="A772" s="104"/>
      <c r="B772" s="109" t="s">
        <v>280</v>
      </c>
      <c r="C772" s="489" t="s">
        <v>363</v>
      </c>
      <c r="D772" s="60" t="s">
        <v>88</v>
      </c>
      <c r="E772" s="12"/>
      <c r="F772" s="84">
        <v>8124</v>
      </c>
      <c r="G772" s="57"/>
      <c r="H772" s="57"/>
      <c r="I772" s="57"/>
    </row>
    <row r="773" spans="1:9" s="58" customFormat="1" hidden="1" x14ac:dyDescent="0.25">
      <c r="A773" s="104"/>
      <c r="B773" s="109" t="s">
        <v>280</v>
      </c>
      <c r="C773" s="489" t="s">
        <v>363</v>
      </c>
      <c r="D773" s="19" t="s">
        <v>145</v>
      </c>
      <c r="E773" s="12"/>
      <c r="F773" s="65">
        <v>8124</v>
      </c>
      <c r="G773" s="57"/>
      <c r="H773" s="57"/>
      <c r="I773" s="57"/>
    </row>
    <row r="774" spans="1:9" s="58" customFormat="1" ht="47.25" hidden="1" x14ac:dyDescent="0.25">
      <c r="A774" s="104"/>
      <c r="B774" s="109" t="s">
        <v>280</v>
      </c>
      <c r="C774" s="489" t="s">
        <v>363</v>
      </c>
      <c r="D774" s="61" t="s">
        <v>283</v>
      </c>
      <c r="E774" s="12"/>
      <c r="F774" s="65">
        <f>F775+F780</f>
        <v>2356</v>
      </c>
      <c r="G774" s="57"/>
      <c r="H774" s="57"/>
      <c r="I774" s="57"/>
    </row>
    <row r="775" spans="1:9" s="58" customFormat="1" ht="30" hidden="1" x14ac:dyDescent="0.25">
      <c r="A775" s="104"/>
      <c r="B775" s="109" t="s">
        <v>280</v>
      </c>
      <c r="C775" s="489" t="s">
        <v>363</v>
      </c>
      <c r="D775" s="16" t="s">
        <v>189</v>
      </c>
      <c r="E775" s="12"/>
      <c r="F775" s="84">
        <f>SUM(F776:F779)</f>
        <v>1729</v>
      </c>
      <c r="G775" s="57"/>
      <c r="H775" s="57"/>
      <c r="I775" s="57"/>
    </row>
    <row r="776" spans="1:9" s="58" customFormat="1" ht="30" hidden="1" x14ac:dyDescent="0.25">
      <c r="A776" s="104"/>
      <c r="B776" s="109" t="s">
        <v>280</v>
      </c>
      <c r="C776" s="489" t="s">
        <v>363</v>
      </c>
      <c r="D776" s="15" t="s">
        <v>190</v>
      </c>
      <c r="E776" s="12"/>
      <c r="F776" s="65">
        <v>1729</v>
      </c>
      <c r="G776" s="57"/>
      <c r="H776" s="57"/>
      <c r="I776" s="57"/>
    </row>
    <row r="777" spans="1:9" s="58" customFormat="1" ht="45" hidden="1" x14ac:dyDescent="0.25">
      <c r="A777" s="104"/>
      <c r="B777" s="109" t="s">
        <v>280</v>
      </c>
      <c r="C777" s="489" t="s">
        <v>363</v>
      </c>
      <c r="D777" s="15" t="s">
        <v>191</v>
      </c>
      <c r="E777" s="12"/>
      <c r="F777" s="65"/>
      <c r="G777" s="57"/>
      <c r="H777" s="57"/>
      <c r="I777" s="57"/>
    </row>
    <row r="778" spans="1:9" s="58" customFormat="1" ht="30" hidden="1" x14ac:dyDescent="0.25">
      <c r="A778" s="104"/>
      <c r="B778" s="109" t="s">
        <v>280</v>
      </c>
      <c r="C778" s="489" t="s">
        <v>363</v>
      </c>
      <c r="D778" s="15" t="s">
        <v>192</v>
      </c>
      <c r="E778" s="12"/>
      <c r="F778" s="65"/>
      <c r="G778" s="57"/>
      <c r="H778" s="57"/>
      <c r="I778" s="57"/>
    </row>
    <row r="779" spans="1:9" s="58" customFormat="1" ht="30" hidden="1" x14ac:dyDescent="0.25">
      <c r="A779" s="104"/>
      <c r="B779" s="109" t="s">
        <v>280</v>
      </c>
      <c r="C779" s="489" t="s">
        <v>363</v>
      </c>
      <c r="D779" s="15" t="s">
        <v>193</v>
      </c>
      <c r="E779" s="12"/>
      <c r="F779" s="65"/>
      <c r="G779" s="57"/>
      <c r="H779" s="57"/>
      <c r="I779" s="57"/>
    </row>
    <row r="780" spans="1:9" s="58" customFormat="1" ht="30" hidden="1" x14ac:dyDescent="0.25">
      <c r="A780" s="104"/>
      <c r="B780" s="109" t="s">
        <v>280</v>
      </c>
      <c r="C780" s="489" t="s">
        <v>363</v>
      </c>
      <c r="D780" s="16" t="s">
        <v>194</v>
      </c>
      <c r="E780" s="12"/>
      <c r="F780" s="84">
        <f>SUM(F781:F783)</f>
        <v>627</v>
      </c>
      <c r="G780" s="57"/>
      <c r="H780" s="57"/>
      <c r="I780" s="57"/>
    </row>
    <row r="781" spans="1:9" s="58" customFormat="1" ht="30" hidden="1" x14ac:dyDescent="0.25">
      <c r="A781" s="104">
        <v>1</v>
      </c>
      <c r="B781" s="109" t="s">
        <v>280</v>
      </c>
      <c r="C781" s="489" t="s">
        <v>363</v>
      </c>
      <c r="D781" s="15" t="s">
        <v>195</v>
      </c>
      <c r="E781" s="62"/>
      <c r="F781" s="57">
        <v>613</v>
      </c>
      <c r="G781" s="57"/>
      <c r="H781" s="57"/>
      <c r="I781" s="57"/>
    </row>
    <row r="782" spans="1:9" s="58" customFormat="1" ht="45" hidden="1" x14ac:dyDescent="0.25">
      <c r="A782" s="104">
        <v>1</v>
      </c>
      <c r="B782" s="109" t="s">
        <v>280</v>
      </c>
      <c r="C782" s="489" t="s">
        <v>363</v>
      </c>
      <c r="D782" s="15" t="s">
        <v>196</v>
      </c>
      <c r="E782" s="24"/>
      <c r="F782" s="2"/>
      <c r="G782" s="24"/>
      <c r="H782" s="24"/>
      <c r="I782" s="24"/>
    </row>
    <row r="783" spans="1:9" s="58" customFormat="1" ht="45" hidden="1" x14ac:dyDescent="0.25">
      <c r="A783" s="104">
        <v>1</v>
      </c>
      <c r="B783" s="109" t="s">
        <v>280</v>
      </c>
      <c r="C783" s="489" t="s">
        <v>363</v>
      </c>
      <c r="D783" s="15" t="s">
        <v>197</v>
      </c>
      <c r="E783" s="62"/>
      <c r="F783" s="57">
        <v>14</v>
      </c>
      <c r="G783" s="57"/>
      <c r="H783" s="57"/>
      <c r="I783" s="57"/>
    </row>
    <row r="784" spans="1:9" s="58" customFormat="1" ht="21" hidden="1" customHeight="1" x14ac:dyDescent="0.25">
      <c r="A784" s="104"/>
      <c r="B784" s="109"/>
      <c r="C784" s="489" t="s">
        <v>363</v>
      </c>
      <c r="D784" s="12" t="s">
        <v>96</v>
      </c>
      <c r="E784" s="62"/>
      <c r="F784" s="78"/>
      <c r="G784" s="57"/>
      <c r="H784" s="57"/>
      <c r="I784" s="57"/>
    </row>
    <row r="785" spans="1:10" s="58" customFormat="1" ht="21" hidden="1" customHeight="1" x14ac:dyDescent="0.25">
      <c r="A785" s="104">
        <v>1</v>
      </c>
      <c r="B785" s="109" t="s">
        <v>280</v>
      </c>
      <c r="C785" s="489" t="s">
        <v>363</v>
      </c>
      <c r="D785" s="14" t="s">
        <v>296</v>
      </c>
      <c r="E785" s="62"/>
      <c r="F785" s="29">
        <f>SUM(F786,F787,F791,F792,F793,F794)</f>
        <v>1222</v>
      </c>
      <c r="G785" s="57"/>
      <c r="H785" s="57"/>
      <c r="I785" s="57"/>
    </row>
    <row r="786" spans="1:10" s="58" customFormat="1" hidden="1" x14ac:dyDescent="0.25">
      <c r="A786" s="104">
        <v>1</v>
      </c>
      <c r="B786" s="109" t="s">
        <v>280</v>
      </c>
      <c r="C786" s="489" t="s">
        <v>363</v>
      </c>
      <c r="D786" s="15" t="s">
        <v>297</v>
      </c>
      <c r="E786" s="62"/>
      <c r="F786" s="2"/>
      <c r="G786" s="57"/>
      <c r="H786" s="57"/>
      <c r="I786" s="57"/>
    </row>
    <row r="787" spans="1:10" s="58" customFormat="1" ht="30" hidden="1" x14ac:dyDescent="0.25">
      <c r="A787" s="104">
        <v>1</v>
      </c>
      <c r="B787" s="109" t="s">
        <v>280</v>
      </c>
      <c r="C787" s="489" t="s">
        <v>363</v>
      </c>
      <c r="D787" s="16" t="s">
        <v>298</v>
      </c>
      <c r="E787" s="62"/>
      <c r="F787" s="2">
        <f>F788+F789/4+F790</f>
        <v>117</v>
      </c>
      <c r="G787" s="57"/>
      <c r="H787" s="57"/>
      <c r="I787" s="57"/>
    </row>
    <row r="788" spans="1:10" s="124" customFormat="1" hidden="1" x14ac:dyDescent="0.25">
      <c r="A788" s="104"/>
      <c r="B788" s="109" t="s">
        <v>280</v>
      </c>
      <c r="C788" s="489" t="s">
        <v>363</v>
      </c>
      <c r="D788" s="15" t="s">
        <v>299</v>
      </c>
      <c r="E788" s="13"/>
      <c r="F788" s="17"/>
      <c r="G788" s="10"/>
      <c r="H788" s="10"/>
      <c r="I788" s="10"/>
      <c r="J788" s="58"/>
    </row>
    <row r="789" spans="1:10" s="58" customFormat="1" ht="30" hidden="1" x14ac:dyDescent="0.25">
      <c r="A789" s="104">
        <v>1</v>
      </c>
      <c r="B789" s="109" t="s">
        <v>280</v>
      </c>
      <c r="C789" s="489" t="s">
        <v>363</v>
      </c>
      <c r="D789" s="15" t="s">
        <v>300</v>
      </c>
      <c r="E789" s="62"/>
      <c r="F789" s="10">
        <v>468</v>
      </c>
      <c r="G789" s="57"/>
      <c r="H789" s="57"/>
      <c r="I789" s="57"/>
    </row>
    <row r="790" spans="1:10" s="124" customFormat="1" ht="45" hidden="1" x14ac:dyDescent="0.25">
      <c r="A790" s="104">
        <v>1</v>
      </c>
      <c r="B790" s="109" t="s">
        <v>280</v>
      </c>
      <c r="C790" s="489" t="s">
        <v>363</v>
      </c>
      <c r="D790" s="15" t="s">
        <v>301</v>
      </c>
      <c r="E790" s="13"/>
      <c r="F790" s="2"/>
      <c r="G790" s="2"/>
      <c r="H790" s="2"/>
      <c r="I790" s="2"/>
      <c r="J790" s="58"/>
    </row>
    <row r="791" spans="1:10" s="58" customFormat="1" ht="45" hidden="1" x14ac:dyDescent="0.25">
      <c r="A791" s="104">
        <v>1</v>
      </c>
      <c r="B791" s="109" t="s">
        <v>280</v>
      </c>
      <c r="C791" s="489" t="s">
        <v>363</v>
      </c>
      <c r="D791" s="15" t="s">
        <v>309</v>
      </c>
      <c r="E791" s="281"/>
      <c r="F791" s="2"/>
      <c r="G791" s="57"/>
      <c r="H791" s="57"/>
      <c r="I791" s="57"/>
    </row>
    <row r="792" spans="1:10" s="58" customFormat="1" ht="45" hidden="1" x14ac:dyDescent="0.25">
      <c r="A792" s="104">
        <v>1</v>
      </c>
      <c r="B792" s="109" t="s">
        <v>280</v>
      </c>
      <c r="C792" s="489" t="s">
        <v>363</v>
      </c>
      <c r="D792" s="18" t="s">
        <v>310</v>
      </c>
      <c r="E792" s="64"/>
      <c r="F792" s="57"/>
      <c r="G792" s="65"/>
      <c r="H792" s="65"/>
      <c r="I792" s="65"/>
    </row>
    <row r="793" spans="1:10" s="58" customFormat="1" ht="75" hidden="1" x14ac:dyDescent="0.25">
      <c r="A793" s="53"/>
      <c r="B793" s="109"/>
      <c r="C793" s="489" t="s">
        <v>363</v>
      </c>
      <c r="D793" s="18" t="s">
        <v>354</v>
      </c>
      <c r="E793" s="13"/>
      <c r="F793" s="55">
        <v>450</v>
      </c>
      <c r="G793" s="65"/>
      <c r="H793" s="65"/>
      <c r="I793" s="43"/>
      <c r="J793" s="52"/>
    </row>
    <row r="794" spans="1:10" s="58" customFormat="1" ht="28.5" hidden="1" x14ac:dyDescent="0.25">
      <c r="A794" s="53"/>
      <c r="B794" s="109"/>
      <c r="C794" s="489" t="s">
        <v>363</v>
      </c>
      <c r="D794" s="66" t="s">
        <v>344</v>
      </c>
      <c r="E794" s="13"/>
      <c r="F794" s="55">
        <f>F795</f>
        <v>655</v>
      </c>
      <c r="G794" s="59"/>
      <c r="H794" s="59"/>
      <c r="I794" s="81"/>
      <c r="J794" s="52"/>
    </row>
    <row r="795" spans="1:10" s="58" customFormat="1" hidden="1" x14ac:dyDescent="0.25">
      <c r="A795" s="53"/>
      <c r="B795" s="109"/>
      <c r="C795" s="489" t="s">
        <v>363</v>
      </c>
      <c r="D795" s="18" t="s">
        <v>345</v>
      </c>
      <c r="E795" s="13"/>
      <c r="F795" s="55">
        <v>655</v>
      </c>
      <c r="G795" s="59"/>
      <c r="H795" s="59"/>
      <c r="I795" s="81"/>
      <c r="J795" s="52"/>
    </row>
    <row r="796" spans="1:10" s="58" customFormat="1" ht="28.5" hidden="1" x14ac:dyDescent="0.25">
      <c r="A796" s="53"/>
      <c r="B796" s="109"/>
      <c r="C796" s="489" t="s">
        <v>363</v>
      </c>
      <c r="D796" s="66" t="s">
        <v>346</v>
      </c>
      <c r="E796" s="13"/>
      <c r="F796" s="55"/>
      <c r="G796" s="59"/>
      <c r="H796" s="59"/>
      <c r="I796" s="81"/>
      <c r="J796" s="52"/>
    </row>
    <row r="797" spans="1:10" s="58" customFormat="1" hidden="1" x14ac:dyDescent="0.25">
      <c r="A797" s="104">
        <v>1</v>
      </c>
      <c r="B797" s="109" t="s">
        <v>280</v>
      </c>
      <c r="C797" s="489" t="s">
        <v>363</v>
      </c>
      <c r="D797" s="14" t="s">
        <v>303</v>
      </c>
      <c r="E797" s="13"/>
      <c r="F797" s="2">
        <f>F798+F799</f>
        <v>2200</v>
      </c>
      <c r="G797" s="65"/>
      <c r="H797" s="65"/>
      <c r="I797" s="65"/>
    </row>
    <row r="798" spans="1:10" s="58" customFormat="1" hidden="1" x14ac:dyDescent="0.25">
      <c r="A798" s="104">
        <v>1</v>
      </c>
      <c r="B798" s="109" t="s">
        <v>280</v>
      </c>
      <c r="C798" s="489" t="s">
        <v>363</v>
      </c>
      <c r="D798" s="14" t="s">
        <v>304</v>
      </c>
      <c r="E798" s="13"/>
      <c r="F798" s="2"/>
      <c r="G798" s="65"/>
      <c r="H798" s="65"/>
      <c r="I798" s="65"/>
    </row>
    <row r="799" spans="1:10" s="58" customFormat="1" hidden="1" x14ac:dyDescent="0.25">
      <c r="A799" s="104">
        <v>1</v>
      </c>
      <c r="B799" s="109" t="s">
        <v>280</v>
      </c>
      <c r="C799" s="489" t="s">
        <v>363</v>
      </c>
      <c r="D799" s="15" t="s">
        <v>305</v>
      </c>
      <c r="E799" s="13"/>
      <c r="F799" s="2">
        <f>F800/9.4</f>
        <v>2200</v>
      </c>
      <c r="G799" s="65"/>
      <c r="H799" s="65"/>
      <c r="I799" s="65"/>
    </row>
    <row r="800" spans="1:10" s="58" customFormat="1" hidden="1" x14ac:dyDescent="0.25">
      <c r="A800" s="104">
        <v>1</v>
      </c>
      <c r="B800" s="109" t="s">
        <v>280</v>
      </c>
      <c r="C800" s="489" t="s">
        <v>363</v>
      </c>
      <c r="D800" s="42" t="s">
        <v>314</v>
      </c>
      <c r="E800" s="13"/>
      <c r="F800" s="2">
        <v>20680</v>
      </c>
      <c r="G800" s="65"/>
      <c r="H800" s="65"/>
      <c r="I800" s="65"/>
    </row>
    <row r="801" spans="1:9" s="58" customFormat="1" ht="29.25" hidden="1" x14ac:dyDescent="0.25">
      <c r="A801" s="104">
        <v>1</v>
      </c>
      <c r="B801" s="109" t="s">
        <v>280</v>
      </c>
      <c r="C801" s="489" t="s">
        <v>363</v>
      </c>
      <c r="D801" s="14" t="s">
        <v>306</v>
      </c>
      <c r="E801" s="13"/>
      <c r="F801" s="57">
        <v>100</v>
      </c>
      <c r="G801" s="65"/>
      <c r="H801" s="65"/>
      <c r="I801" s="65"/>
    </row>
    <row r="802" spans="1:9" s="58" customFormat="1" hidden="1" x14ac:dyDescent="0.25">
      <c r="A802" s="104">
        <v>1</v>
      </c>
      <c r="B802" s="109" t="s">
        <v>280</v>
      </c>
      <c r="C802" s="489" t="s">
        <v>363</v>
      </c>
      <c r="D802" s="19" t="s">
        <v>115</v>
      </c>
      <c r="E802" s="13"/>
      <c r="F802" s="57"/>
      <c r="G802" s="65"/>
      <c r="H802" s="65"/>
      <c r="I802" s="65"/>
    </row>
    <row r="803" spans="1:9" s="58" customFormat="1" ht="57.75" hidden="1" x14ac:dyDescent="0.25">
      <c r="A803" s="104">
        <v>1</v>
      </c>
      <c r="B803" s="109" t="s">
        <v>280</v>
      </c>
      <c r="C803" s="489" t="s">
        <v>363</v>
      </c>
      <c r="D803" s="14" t="s">
        <v>307</v>
      </c>
      <c r="E803" s="13"/>
      <c r="F803" s="57"/>
      <c r="G803" s="65"/>
      <c r="H803" s="65"/>
      <c r="I803" s="65"/>
    </row>
    <row r="804" spans="1:9" s="58" customFormat="1" hidden="1" x14ac:dyDescent="0.25">
      <c r="A804" s="104">
        <v>1</v>
      </c>
      <c r="B804" s="109" t="s">
        <v>280</v>
      </c>
      <c r="C804" s="489" t="s">
        <v>363</v>
      </c>
      <c r="D804" s="20" t="s">
        <v>158</v>
      </c>
      <c r="E804" s="13"/>
      <c r="F804" s="57">
        <f>F805+F806</f>
        <v>600</v>
      </c>
      <c r="G804" s="65"/>
      <c r="H804" s="65"/>
      <c r="I804" s="65"/>
    </row>
    <row r="805" spans="1:9" s="58" customFormat="1" ht="30" hidden="1" x14ac:dyDescent="0.25">
      <c r="A805" s="104">
        <v>1</v>
      </c>
      <c r="B805" s="109" t="s">
        <v>280</v>
      </c>
      <c r="C805" s="489" t="s">
        <v>363</v>
      </c>
      <c r="D805" s="208" t="s">
        <v>203</v>
      </c>
      <c r="E805" s="13"/>
      <c r="F805" s="57">
        <v>300</v>
      </c>
      <c r="G805" s="65"/>
      <c r="H805" s="65"/>
      <c r="I805" s="65"/>
    </row>
    <row r="806" spans="1:9" s="58" customFormat="1" hidden="1" x14ac:dyDescent="0.25">
      <c r="A806" s="104">
        <v>1</v>
      </c>
      <c r="B806" s="109" t="s">
        <v>280</v>
      </c>
      <c r="C806" s="489" t="s">
        <v>363</v>
      </c>
      <c r="D806" s="208" t="s">
        <v>118</v>
      </c>
      <c r="E806" s="13"/>
      <c r="F806" s="78">
        <v>300</v>
      </c>
      <c r="G806" s="65"/>
      <c r="H806" s="65"/>
      <c r="I806" s="65"/>
    </row>
    <row r="807" spans="1:9" s="58" customFormat="1" hidden="1" x14ac:dyDescent="0.25">
      <c r="A807" s="104">
        <v>1</v>
      </c>
      <c r="B807" s="109" t="s">
        <v>280</v>
      </c>
      <c r="C807" s="489" t="s">
        <v>363</v>
      </c>
      <c r="D807" s="21" t="s">
        <v>198</v>
      </c>
      <c r="E807" s="13"/>
      <c r="F807" s="29">
        <f>F785+F764</f>
        <v>13784</v>
      </c>
      <c r="G807" s="65"/>
      <c r="H807" s="65"/>
      <c r="I807" s="65"/>
    </row>
    <row r="808" spans="1:9" s="58" customFormat="1" ht="29.25" hidden="1" x14ac:dyDescent="0.25">
      <c r="A808" s="104">
        <v>1</v>
      </c>
      <c r="B808" s="109" t="s">
        <v>280</v>
      </c>
      <c r="C808" s="489" t="s">
        <v>363</v>
      </c>
      <c r="D808" s="21" t="s">
        <v>199</v>
      </c>
      <c r="E808" s="13"/>
      <c r="F808" s="29">
        <f>F774</f>
        <v>2356</v>
      </c>
      <c r="G808" s="65"/>
      <c r="H808" s="65"/>
      <c r="I808" s="65"/>
    </row>
    <row r="809" spans="1:9" s="58" customFormat="1" hidden="1" x14ac:dyDescent="0.25">
      <c r="A809" s="104">
        <v>1</v>
      </c>
      <c r="B809" s="109" t="s">
        <v>280</v>
      </c>
      <c r="C809" s="489" t="s">
        <v>363</v>
      </c>
      <c r="D809" s="21" t="s">
        <v>200</v>
      </c>
      <c r="E809" s="13"/>
      <c r="F809" s="83">
        <f>F797+F772</f>
        <v>10324</v>
      </c>
      <c r="G809" s="65"/>
      <c r="H809" s="65"/>
      <c r="I809" s="65"/>
    </row>
    <row r="810" spans="1:9" s="58" customFormat="1" ht="29.25" hidden="1" x14ac:dyDescent="0.25">
      <c r="A810" s="104">
        <v>1</v>
      </c>
      <c r="B810" s="109" t="s">
        <v>280</v>
      </c>
      <c r="C810" s="489" t="s">
        <v>363</v>
      </c>
      <c r="D810" s="21" t="s">
        <v>201</v>
      </c>
      <c r="E810" s="13"/>
      <c r="F810" s="83">
        <f>F801</f>
        <v>100</v>
      </c>
      <c r="G810" s="65"/>
      <c r="H810" s="65"/>
      <c r="I810" s="65"/>
    </row>
    <row r="811" spans="1:9" s="58" customFormat="1" hidden="1" x14ac:dyDescent="0.25">
      <c r="A811" s="104">
        <v>1</v>
      </c>
      <c r="B811" s="109" t="s">
        <v>280</v>
      </c>
      <c r="C811" s="489" t="s">
        <v>363</v>
      </c>
      <c r="D811" s="22" t="s">
        <v>109</v>
      </c>
      <c r="E811" s="13"/>
      <c r="F811" s="83">
        <f>F807+F808+F810+F773*2.9+F800/4.2</f>
        <v>44723.409523809525</v>
      </c>
      <c r="G811" s="65"/>
      <c r="H811" s="65"/>
      <c r="I811" s="65"/>
    </row>
    <row r="812" spans="1:9" s="124" customFormat="1" hidden="1" x14ac:dyDescent="0.25">
      <c r="A812" s="104">
        <v>1</v>
      </c>
      <c r="B812" s="109" t="s">
        <v>280</v>
      </c>
      <c r="C812" s="489" t="s">
        <v>363</v>
      </c>
      <c r="D812" s="30" t="s">
        <v>7</v>
      </c>
      <c r="E812" s="97"/>
      <c r="F812" s="29"/>
      <c r="G812" s="29"/>
      <c r="H812" s="2"/>
      <c r="I812" s="2"/>
    </row>
    <row r="813" spans="1:9" s="124" customFormat="1" hidden="1" x14ac:dyDescent="0.25">
      <c r="A813" s="104">
        <v>1</v>
      </c>
      <c r="B813" s="109" t="s">
        <v>280</v>
      </c>
      <c r="C813" s="489" t="s">
        <v>363</v>
      </c>
      <c r="D813" s="40" t="s">
        <v>18</v>
      </c>
      <c r="E813" s="97"/>
      <c r="F813" s="29"/>
      <c r="G813" s="635"/>
      <c r="H813" s="2"/>
      <c r="I813" s="2"/>
    </row>
    <row r="814" spans="1:9" s="124" customFormat="1" hidden="1" x14ac:dyDescent="0.25">
      <c r="A814" s="104">
        <v>1</v>
      </c>
      <c r="B814" s="109" t="s">
        <v>280</v>
      </c>
      <c r="C814" s="489" t="s">
        <v>363</v>
      </c>
      <c r="D814" s="25" t="s">
        <v>35</v>
      </c>
      <c r="E814" s="652">
        <v>240</v>
      </c>
      <c r="F814" s="2">
        <v>320</v>
      </c>
      <c r="G814" s="355">
        <v>8</v>
      </c>
      <c r="H814" s="2">
        <f>ROUND(I814/E814,0)</f>
        <v>11</v>
      </c>
      <c r="I814" s="2">
        <f>ROUND(F814*G814,0)</f>
        <v>2560</v>
      </c>
    </row>
    <row r="815" spans="1:9" s="124" customFormat="1" hidden="1" x14ac:dyDescent="0.25">
      <c r="A815" s="104">
        <v>1</v>
      </c>
      <c r="B815" s="109" t="s">
        <v>280</v>
      </c>
      <c r="C815" s="489" t="s">
        <v>363</v>
      </c>
      <c r="D815" s="634" t="s">
        <v>92</v>
      </c>
      <c r="E815" s="653"/>
      <c r="F815" s="31">
        <f>SUM(F814)</f>
        <v>320</v>
      </c>
      <c r="G815" s="143">
        <f>I815/F815</f>
        <v>8</v>
      </c>
      <c r="H815" s="31">
        <f t="shared" ref="H815:I816" si="16">H814</f>
        <v>11</v>
      </c>
      <c r="I815" s="31">
        <f t="shared" si="16"/>
        <v>2560</v>
      </c>
    </row>
    <row r="816" spans="1:9" s="124" customFormat="1" hidden="1" x14ac:dyDescent="0.25">
      <c r="A816" s="104">
        <v>1</v>
      </c>
      <c r="B816" s="109" t="s">
        <v>280</v>
      </c>
      <c r="C816" s="489" t="s">
        <v>363</v>
      </c>
      <c r="D816" s="26" t="s">
        <v>86</v>
      </c>
      <c r="E816" s="142"/>
      <c r="F816" s="29">
        <f>F815</f>
        <v>320</v>
      </c>
      <c r="G816" s="143">
        <f>I816/F816</f>
        <v>8</v>
      </c>
      <c r="H816" s="29">
        <f>H815</f>
        <v>11</v>
      </c>
      <c r="I816" s="29">
        <f t="shared" si="16"/>
        <v>2560</v>
      </c>
    </row>
    <row r="817" spans="1:10" s="124" customFormat="1" ht="15.75" hidden="1" thickBot="1" x14ac:dyDescent="0.3">
      <c r="A817" s="104">
        <v>1</v>
      </c>
      <c r="B817" s="109" t="s">
        <v>280</v>
      </c>
      <c r="C817" s="489" t="s">
        <v>363</v>
      </c>
      <c r="D817" s="644" t="s">
        <v>220</v>
      </c>
      <c r="E817" s="645"/>
      <c r="F817" s="645"/>
      <c r="G817" s="645"/>
      <c r="H817" s="645"/>
      <c r="I817" s="645"/>
    </row>
    <row r="818" spans="1:10" s="124" customFormat="1" ht="31.5" hidden="1" x14ac:dyDescent="0.25">
      <c r="A818" s="104">
        <v>1</v>
      </c>
      <c r="B818" s="109" t="s">
        <v>235</v>
      </c>
      <c r="C818" s="489" t="s">
        <v>363</v>
      </c>
      <c r="D818" s="678" t="s">
        <v>432</v>
      </c>
      <c r="E818" s="182"/>
      <c r="F818" s="333"/>
      <c r="G818" s="334"/>
      <c r="H818" s="334"/>
      <c r="I818" s="334"/>
    </row>
    <row r="819" spans="1:10" s="124" customFormat="1" ht="31.5" hidden="1" x14ac:dyDescent="0.25">
      <c r="A819" s="104">
        <v>1</v>
      </c>
      <c r="B819" s="109" t="s">
        <v>235</v>
      </c>
      <c r="C819" s="489" t="s">
        <v>363</v>
      </c>
      <c r="D819" s="27" t="s">
        <v>101</v>
      </c>
      <c r="E819" s="121"/>
      <c r="F819" s="335">
        <v>6090</v>
      </c>
      <c r="G819" s="121"/>
      <c r="H819" s="38"/>
      <c r="I819" s="38"/>
    </row>
    <row r="820" spans="1:10" s="124" customFormat="1" ht="31.5" hidden="1" x14ac:dyDescent="0.25">
      <c r="A820" s="104">
        <v>1</v>
      </c>
      <c r="B820" s="109" t="s">
        <v>235</v>
      </c>
      <c r="C820" s="489" t="s">
        <v>363</v>
      </c>
      <c r="D820" s="27" t="s">
        <v>100</v>
      </c>
      <c r="E820" s="121"/>
      <c r="F820" s="335">
        <v>1510</v>
      </c>
      <c r="G820" s="121"/>
      <c r="H820" s="38"/>
      <c r="I820" s="38"/>
    </row>
    <row r="821" spans="1:10" s="124" customFormat="1" ht="15.75" hidden="1" x14ac:dyDescent="0.25">
      <c r="A821" s="104">
        <v>1</v>
      </c>
      <c r="B821" s="109" t="s">
        <v>235</v>
      </c>
      <c r="C821" s="489" t="s">
        <v>363</v>
      </c>
      <c r="D821" s="27" t="s">
        <v>111</v>
      </c>
      <c r="E821" s="121"/>
      <c r="F821" s="335">
        <v>700</v>
      </c>
      <c r="G821" s="121"/>
      <c r="H821" s="38"/>
      <c r="I821" s="38"/>
    </row>
    <row r="822" spans="1:10" s="124" customFormat="1" ht="15.75" hidden="1" thickBot="1" x14ac:dyDescent="0.3">
      <c r="A822" s="104"/>
      <c r="B822" s="109" t="s">
        <v>235</v>
      </c>
      <c r="C822" s="489" t="s">
        <v>363</v>
      </c>
      <c r="D822" s="90" t="s">
        <v>157</v>
      </c>
      <c r="E822" s="182"/>
      <c r="F822" s="336">
        <f>SUM(F819:F821)</f>
        <v>8300</v>
      </c>
      <c r="G822" s="182"/>
      <c r="H822" s="337"/>
      <c r="I822" s="337"/>
    </row>
    <row r="823" spans="1:10" s="124" customFormat="1" ht="15.75" hidden="1" thickBot="1" x14ac:dyDescent="0.3">
      <c r="A823" s="104">
        <v>1</v>
      </c>
      <c r="B823" s="109" t="s">
        <v>235</v>
      </c>
      <c r="C823" s="489" t="s">
        <v>363</v>
      </c>
      <c r="D823" s="249" t="s">
        <v>220</v>
      </c>
      <c r="E823" s="330"/>
      <c r="F823" s="331"/>
      <c r="G823" s="332"/>
      <c r="H823" s="332"/>
      <c r="I823" s="332"/>
    </row>
    <row r="824" spans="1:10" ht="32.25" hidden="1" customHeight="1" x14ac:dyDescent="0.25">
      <c r="A824" s="104">
        <v>1</v>
      </c>
      <c r="B824" s="109" t="s">
        <v>281</v>
      </c>
      <c r="C824" s="489" t="s">
        <v>363</v>
      </c>
      <c r="D824" s="712" t="s">
        <v>431</v>
      </c>
      <c r="E824" s="713"/>
      <c r="F824" s="661"/>
      <c r="G824" s="600"/>
      <c r="H824" s="600"/>
      <c r="I824" s="600"/>
    </row>
    <row r="825" spans="1:10" ht="15.75" hidden="1" x14ac:dyDescent="0.25">
      <c r="A825" s="104">
        <v>1</v>
      </c>
      <c r="B825" s="109" t="s">
        <v>281</v>
      </c>
      <c r="C825" s="489" t="s">
        <v>363</v>
      </c>
      <c r="D825" s="662" t="s">
        <v>102</v>
      </c>
      <c r="E825" s="600"/>
      <c r="F825" s="661">
        <f>F826+F827</f>
        <v>77397</v>
      </c>
      <c r="G825" s="600"/>
      <c r="H825" s="600"/>
      <c r="I825" s="600"/>
    </row>
    <row r="826" spans="1:10" ht="15.75" hidden="1" x14ac:dyDescent="0.25">
      <c r="A826" s="104">
        <v>1</v>
      </c>
      <c r="B826" s="109" t="s">
        <v>281</v>
      </c>
      <c r="C826" s="489" t="s">
        <v>363</v>
      </c>
      <c r="D826" s="663" t="s">
        <v>103</v>
      </c>
      <c r="E826" s="600"/>
      <c r="F826" s="600">
        <v>77387</v>
      </c>
      <c r="G826" s="600"/>
      <c r="H826" s="600"/>
      <c r="I826" s="600"/>
    </row>
    <row r="827" spans="1:10" ht="31.5" hidden="1" x14ac:dyDescent="0.25">
      <c r="A827" s="104">
        <v>1</v>
      </c>
      <c r="B827" s="109" t="s">
        <v>281</v>
      </c>
      <c r="C827" s="489" t="s">
        <v>363</v>
      </c>
      <c r="D827" s="663" t="s">
        <v>104</v>
      </c>
      <c r="E827" s="600"/>
      <c r="F827" s="600">
        <v>10</v>
      </c>
      <c r="G827" s="600"/>
      <c r="H827" s="600"/>
      <c r="I827" s="600"/>
    </row>
    <row r="828" spans="1:10" hidden="1" x14ac:dyDescent="0.25">
      <c r="B828" s="109" t="s">
        <v>281</v>
      </c>
      <c r="C828" s="489" t="s">
        <v>363</v>
      </c>
      <c r="D828" s="26" t="s">
        <v>105</v>
      </c>
      <c r="E828" s="599"/>
      <c r="F828" s="664">
        <f>F825</f>
        <v>77397</v>
      </c>
      <c r="G828" s="599"/>
      <c r="H828" s="599"/>
      <c r="I828" s="599"/>
    </row>
    <row r="829" spans="1:10" ht="15.75" hidden="1" thickBot="1" x14ac:dyDescent="0.3">
      <c r="A829" s="104">
        <v>1</v>
      </c>
      <c r="B829" s="109" t="s">
        <v>281</v>
      </c>
      <c r="C829" s="489" t="s">
        <v>363</v>
      </c>
      <c r="D829" s="520" t="s">
        <v>220</v>
      </c>
      <c r="E829" s="520"/>
      <c r="F829" s="520"/>
      <c r="G829" s="520"/>
      <c r="H829" s="520"/>
      <c r="I829" s="520"/>
    </row>
    <row r="830" spans="1:10" hidden="1" x14ac:dyDescent="0.25">
      <c r="B830" s="489"/>
      <c r="C830" s="489" t="s">
        <v>363</v>
      </c>
      <c r="D830" s="665"/>
      <c r="E830" s="666"/>
      <c r="F830" s="666"/>
      <c r="G830" s="667"/>
      <c r="H830" s="668"/>
      <c r="I830" s="666"/>
      <c r="J830" s="669"/>
    </row>
    <row r="831" spans="1:10" ht="15.75" x14ac:dyDescent="0.25">
      <c r="B831" s="489"/>
      <c r="C831" s="489" t="s">
        <v>363</v>
      </c>
      <c r="D831" s="670"/>
      <c r="E831" s="671"/>
      <c r="F831" s="671"/>
      <c r="G831" s="671"/>
      <c r="H831" s="671"/>
      <c r="I831" s="671"/>
    </row>
    <row r="1357" spans="6:6" x14ac:dyDescent="0.25">
      <c r="F1357" s="672">
        <f>SUM(F865,F517,F719)</f>
        <v>2210.3617021276596</v>
      </c>
    </row>
  </sheetData>
  <autoFilter ref="A7:BP831"/>
  <sortState ref="D221:I224">
    <sortCondition ref="D221:D224"/>
  </sortState>
  <mergeCells count="7">
    <mergeCell ref="I4:I6"/>
    <mergeCell ref="D2:I3"/>
    <mergeCell ref="D824:E824"/>
    <mergeCell ref="E4:E6"/>
    <mergeCell ref="G4:G6"/>
    <mergeCell ref="H4:H6"/>
    <mergeCell ref="F4:F6"/>
  </mergeCells>
  <pageMargins left="0.39370078740157483" right="0" top="0.31496062992125984" bottom="0.19685039370078741" header="0" footer="0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6</vt:i4>
      </vt:variant>
    </vt:vector>
  </HeadingPairs>
  <TitlesOfParts>
    <vt:vector size="9" baseType="lpstr">
      <vt:lpstr>Хабаровск-1</vt:lpstr>
      <vt:lpstr>Хабаровск-2</vt:lpstr>
      <vt:lpstr>Комсомольск</vt:lpstr>
      <vt:lpstr>Комсомольск!Заголовки_для_печати</vt:lpstr>
      <vt:lpstr>'Хабаровск-1'!Заголовки_для_печати</vt:lpstr>
      <vt:lpstr>'Хабаровск-2'!Заголовки_для_печати</vt:lpstr>
      <vt:lpstr>Комсомольск!Область_печати</vt:lpstr>
      <vt:lpstr>'Хабаровск-1'!Область_печати</vt:lpstr>
      <vt:lpstr>'Хабаровск-2'!Область_печати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212Slusareva</dc:creator>
  <cp:lastModifiedBy>Радецкая Елена Юрьевна</cp:lastModifiedBy>
  <cp:lastPrinted>2022-03-24T23:50:36Z</cp:lastPrinted>
  <dcterms:created xsi:type="dcterms:W3CDTF">2011-12-09T04:00:35Z</dcterms:created>
  <dcterms:modified xsi:type="dcterms:W3CDTF">2022-07-04T00:41:49Z</dcterms:modified>
</cp:coreProperties>
</file>